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165" windowHeight="5250" tabRatio="601" firstSheet="36" activeTab="44"/>
  </bookViews>
  <sheets>
    <sheet name="Cons spec tot e finalizzati" sheetId="1" r:id="rId1"/>
    <sheet name="Cons spec netti " sheetId="2" r:id="rId2"/>
    <sheet name="DIR GEN" sheetId="3" r:id="rId3"/>
    <sheet name="Staff politico isti" sheetId="4" r:id="rId4"/>
    <sheet name="Gabinetto" sheetId="5" r:id="rId5"/>
    <sheet name="Staff del Consiglio" sheetId="6" r:id="rId6"/>
    <sheet name="Partecipazione soc" sheetId="7" r:id="rId7"/>
    <sheet name="Segreteria Generale" sheetId="8" r:id="rId8"/>
    <sheet name="Settori di staff" sheetId="9" r:id="rId9"/>
    <sheet name="Amministrativo " sheetId="10" r:id="rId10"/>
    <sheet name="Legale" sheetId="11" r:id="rId11"/>
    <sheet name="Affari ist" sheetId="12" r:id="rId12"/>
    <sheet name="Acquisti" sheetId="13" r:id="rId13"/>
    <sheet name="Personale " sheetId="14" r:id="rId14"/>
    <sheet name="P&amp;C" sheetId="15" r:id="rId15"/>
    <sheet name="Sistemi info" sheetId="16" r:id="rId16"/>
    <sheet name="Ragioneria" sheetId="17" r:id="rId17"/>
    <sheet name="Comunicazione " sheetId="18" r:id="rId18"/>
    <sheet name="Settori di line" sheetId="19" r:id="rId19"/>
    <sheet name="LLPP" sheetId="20" r:id="rId20"/>
    <sheet name="PM" sheetId="21" r:id="rId21"/>
    <sheet name="Entrate" sheetId="22" r:id="rId22"/>
    <sheet name="Patrimonio" sheetId="23" r:id="rId23"/>
    <sheet name="Sociale e salute" sheetId="24" r:id="rId24"/>
    <sheet name="Istruzione" sheetId="25" r:id="rId25"/>
    <sheet name="Cultura" sheetId="26" r:id="rId26"/>
    <sheet name="Attività produttive" sheetId="27" r:id="rId27"/>
    <sheet name="Sport" sheetId="28" r:id="rId28"/>
    <sheet name="Territorio" sheetId="29" r:id="rId29"/>
    <sheet name="Mobilità" sheetId="30" r:id="rId30"/>
    <sheet name="Casa" sheetId="31" r:id="rId31"/>
    <sheet name="Ambiente " sheetId="32" r:id="rId32"/>
    <sheet name="Servizi demografici" sheetId="33" r:id="rId33"/>
    <sheet name="Quartieri" sheetId="34" r:id="rId34"/>
    <sheet name="Coord Quartieri" sheetId="35" r:id="rId35"/>
    <sheet name="Q.Borgo" sheetId="36" r:id="rId36"/>
    <sheet name="Q.Navile" sheetId="37" r:id="rId37"/>
    <sheet name="Q.Porto" sheetId="38" r:id="rId38"/>
    <sheet name="Q.Reno" sheetId="39" r:id="rId39"/>
    <sheet name="Q.SDonato" sheetId="40" r:id="rId40"/>
    <sheet name="Q.SStefano" sheetId="41" r:id="rId41"/>
    <sheet name="Q.SVitale" sheetId="42" r:id="rId42"/>
    <sheet name="Q.Saragozza" sheetId="43" r:id="rId43"/>
    <sheet name="Q.Savena" sheetId="44" r:id="rId44"/>
    <sheet name="TOTALE CS" sheetId="45" r:id="rId45"/>
  </sheets>
  <externalReferences>
    <externalReference r:id="rId48"/>
  </externalReferences>
  <definedNames>
    <definedName name="_xlnm.Print_Area" localSheetId="12">'Acquisti'!$I$1:$W$17</definedName>
    <definedName name="_xlnm.Print_Area" localSheetId="11">'Affari ist'!$I$1:$W$17</definedName>
    <definedName name="_xlnm.Print_Area" localSheetId="31">'Ambiente '!$I$1:$W$17</definedName>
    <definedName name="_xlnm.Print_Area" localSheetId="9">'Amministrativo '!$I$1:$W$17</definedName>
    <definedName name="_xlnm.Print_Area" localSheetId="26">'Attività produttive'!$I$1:$W$17</definedName>
    <definedName name="_xlnm.Print_Area" localSheetId="30">'Casa'!$I$1:$W$17</definedName>
    <definedName name="_xlnm.Print_Area" localSheetId="17">'Comunicazione '!$I$1:$W$17</definedName>
    <definedName name="_xlnm.Print_Area" localSheetId="1">'Cons spec netti '!$A$1:$K$228</definedName>
    <definedName name="_xlnm.Print_Area" localSheetId="0">'Cons spec tot e finalizzati'!$A$1:$S$242</definedName>
    <definedName name="_xlnm.Print_Area" localSheetId="34">'Coord Quartieri'!$I$1:$W$17</definedName>
    <definedName name="_xlnm.Print_Area" localSheetId="25">'Cultura'!$I$1:$W$17</definedName>
    <definedName name="_xlnm.Print_Area" localSheetId="2">'DIR GEN'!$I$1:$W$17</definedName>
    <definedName name="_xlnm.Print_Area" localSheetId="21">'Entrate'!$I$1:$W$17</definedName>
    <definedName name="_xlnm.Print_Area" localSheetId="4">'Gabinetto'!$I$1:$W$17</definedName>
    <definedName name="_xlnm.Print_Area" localSheetId="24">'Istruzione'!$I$1:$W$17</definedName>
    <definedName name="_xlnm.Print_Area" localSheetId="10">'Legale'!$I$1:$W$17</definedName>
    <definedName name="_xlnm.Print_Area" localSheetId="19">'LLPP'!$I$1:$W$17</definedName>
    <definedName name="_xlnm.Print_Area" localSheetId="29">'Mobilità'!$I$1:$W$17</definedName>
    <definedName name="_xlnm.Print_Area" localSheetId="14">'P&amp;C'!$I$1:$W$17</definedName>
    <definedName name="_xlnm.Print_Area" localSheetId="6">'Partecipazione soc'!$I$1:$W$17</definedName>
    <definedName name="_xlnm.Print_Area" localSheetId="22">'Patrimonio'!$I$1:$W$17</definedName>
    <definedName name="_xlnm.Print_Area" localSheetId="13">'Personale '!$I$1:$W$17</definedName>
    <definedName name="_xlnm.Print_Area" localSheetId="20">'PM'!$I$1:$W$17</definedName>
    <definedName name="_xlnm.Print_Area" localSheetId="35">'Q.Borgo'!$I$1:$W$17</definedName>
    <definedName name="_xlnm.Print_Area" localSheetId="36">'Q.Navile'!$I$1:$W$17</definedName>
    <definedName name="_xlnm.Print_Area" localSheetId="37">'Q.Porto'!$I$1:$W$17</definedName>
    <definedName name="_xlnm.Print_Area" localSheetId="38">'Q.Reno'!$I$1:$W$17</definedName>
    <definedName name="_xlnm.Print_Area" localSheetId="42">'Q.Saragozza'!$I$1:$W$17</definedName>
    <definedName name="_xlnm.Print_Area" localSheetId="43">'Q.Savena'!$I$1:$W$17</definedName>
    <definedName name="_xlnm.Print_Area" localSheetId="39">'Q.SDonato'!$I$1:$W$17</definedName>
    <definedName name="_xlnm.Print_Area" localSheetId="40">'Q.SStefano'!$I$1:$W$17</definedName>
    <definedName name="_xlnm.Print_Area" localSheetId="41">'Q.SVitale'!$I$1:$W$17</definedName>
    <definedName name="_xlnm.Print_Area" localSheetId="33">'Quartieri'!$I$1:$W$17</definedName>
    <definedName name="_xlnm.Print_Area" localSheetId="16">'Ragioneria'!$I$1:$W$17</definedName>
    <definedName name="_xlnm.Print_Area" localSheetId="7">'Segreteria Generale'!$I$1:$W$17</definedName>
    <definedName name="_xlnm.Print_Area" localSheetId="32">'Servizi demografici'!$I$1:$W$17</definedName>
    <definedName name="_xlnm.Print_Area" localSheetId="18">'Settori di line'!$I$1:$W$17</definedName>
    <definedName name="_xlnm.Print_Area" localSheetId="8">'Settori di staff'!$I$1:$W$17</definedName>
    <definedName name="_xlnm.Print_Area" localSheetId="15">'Sistemi info'!$I$1:$W$17</definedName>
    <definedName name="_xlnm.Print_Area" localSheetId="23">'Sociale e salute'!$I$1:$W$17</definedName>
    <definedName name="_xlnm.Print_Area" localSheetId="27">'Sport'!$I$1:$W$17</definedName>
    <definedName name="_xlnm.Print_Area" localSheetId="5">'Staff del Consiglio'!$I$1:$W$17</definedName>
    <definedName name="_xlnm.Print_Area" localSheetId="3">'Staff politico isti'!$I$1:$W$17</definedName>
    <definedName name="_xlnm.Print_Area" localSheetId="28">'Territorio'!$I$1:$W$17</definedName>
    <definedName name="_xlnm.Print_Area" localSheetId="44">'TOTALE CS'!$I$1:$W$17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'Cons spec netti '!$6:$8</definedName>
    <definedName name="_xlnm.Print_Titles" localSheetId="0">'Cons spec tot e finalizzati'!$6:$8</definedName>
  </definedNames>
  <calcPr fullCalcOnLoad="1"/>
</workbook>
</file>

<file path=xl/sharedStrings.xml><?xml version="1.0" encoding="utf-8"?>
<sst xmlns="http://schemas.openxmlformats.org/spreadsheetml/2006/main" count="771" uniqueCount="188">
  <si>
    <t>DIREZIONE GENERALE</t>
  </si>
  <si>
    <t>UFFICIO STAMPA</t>
  </si>
  <si>
    <t>CERIMONIALE</t>
  </si>
  <si>
    <t>STAFF CONSIGLIO</t>
  </si>
  <si>
    <t>PROTEZIONE CIVILE</t>
  </si>
  <si>
    <t>DIREZIONE, AMMINISTRAZIONE/ALTRO</t>
  </si>
  <si>
    <t>PROTOCOLLO ARCHIVIO</t>
  </si>
  <si>
    <t>DIREZIONE, AMMINISTRAZIONE, CDG/ALTRO</t>
  </si>
  <si>
    <t>GESTIONE ACQUISTI - FORNITORI</t>
  </si>
  <si>
    <t>STUDI E INTERVENTI STORICO MONUMENTALI</t>
  </si>
  <si>
    <t>EDILIZIA PUBBLICA</t>
  </si>
  <si>
    <t>MANUTENZIONE VERDE</t>
  </si>
  <si>
    <t>MANUTENZIONE ILLUMINAZIONE PUBBLICA</t>
  </si>
  <si>
    <t xml:space="preserve">MANUTENZIONE SEGNALETICA E SEMAFORI </t>
  </si>
  <si>
    <t>PERSONALE E ORGANIZZAZIONE</t>
  </si>
  <si>
    <t>PERSONALE E ORGANIZZAZIONE NON GESTITI</t>
  </si>
  <si>
    <t>PROGETTAZIONE E SVILUPPO</t>
  </si>
  <si>
    <t>BIBLIOTECA DELL'ARCHIGINNASIO</t>
  </si>
  <si>
    <t>MUSEO ARCHEOLOGICO</t>
  </si>
  <si>
    <t>MUSEI CIVICI DI ARTE ANTICA</t>
  </si>
  <si>
    <t>ISTITUZIONE CINETECA</t>
  </si>
  <si>
    <t xml:space="preserve">ISTITUZIONE GALLERIA D'ARTE MODERNA </t>
  </si>
  <si>
    <t>MUSEO DEL PATRIMONIO INDUSTRIALE</t>
  </si>
  <si>
    <t>ENTI CULTURALI NON GESTITI</t>
  </si>
  <si>
    <t>SPORT</t>
  </si>
  <si>
    <t>STUDI, PIANIFICAZIONE E PROGETTAZIONE</t>
  </si>
  <si>
    <t>DIREZIONE, AMMINISTRAZIONE E CDG/ALTRO</t>
  </si>
  <si>
    <t>SERVIZI A MINORI E FAMIGLIE</t>
  </si>
  <si>
    <t>SERVIZI SOCIALI PER ADULTI</t>
  </si>
  <si>
    <t>SISTEMA INFORMATIVO TERRITORIALE</t>
  </si>
  <si>
    <t>STATO CIVILE</t>
  </si>
  <si>
    <t>ELETTORALE</t>
  </si>
  <si>
    <t>QUARTIERE BORGO PANIGALE</t>
  </si>
  <si>
    <t>DIREZIONE, AFFARI GENERALI E ISTITUZIONALI</t>
  </si>
  <si>
    <t>SERVIZI SOCIO-ASSISTENZIALI</t>
  </si>
  <si>
    <t>COORDINAMENTO SERVIZI SCOLASTICI</t>
  </si>
  <si>
    <t>SCUOLA DELL'INFANZIA</t>
  </si>
  <si>
    <t>QUARTIERE NAVILE</t>
  </si>
  <si>
    <t>QUARTIERE PORTO</t>
  </si>
  <si>
    <t>QUARTIERE RENO</t>
  </si>
  <si>
    <t>QUARTIERE S.DONATO</t>
  </si>
  <si>
    <t>QUARTIERE S.STEFANO</t>
  </si>
  <si>
    <t>QUARTIERE S.VITALE</t>
  </si>
  <si>
    <t>QUARTIERE SARAGOZZA</t>
  </si>
  <si>
    <t>QUARTIERE SAVENA</t>
  </si>
  <si>
    <t>TOTALE</t>
  </si>
  <si>
    <t>+</t>
  </si>
  <si>
    <t>TOT</t>
  </si>
  <si>
    <t>TEATRI, SPETTACOLO E PROMOZ. GIOVANI ARTISTI E LL.FF.AA.</t>
  </si>
  <si>
    <t>Indice inflazione</t>
  </si>
  <si>
    <t>CONTROLLO E SEGNALETICA</t>
  </si>
  <si>
    <t>CONS</t>
  </si>
  <si>
    <t>Consumi specifici finalizzati</t>
  </si>
  <si>
    <t>Indice consumi specifici netti</t>
  </si>
  <si>
    <t>STATISTICA</t>
  </si>
  <si>
    <t>UNITA' GIURIDICO-AMINISTRATIVA</t>
  </si>
  <si>
    <t>EDILIZIA</t>
  </si>
  <si>
    <t>Consumi specifici netti</t>
  </si>
  <si>
    <t>AUTORIZZAZIONI, LICENZE E COORDINAMENTO INTERVENTI</t>
  </si>
  <si>
    <t>SEGRETERIE DELL'ESECUTIVO</t>
  </si>
  <si>
    <t>ENTRATE</t>
  </si>
  <si>
    <t>QUALITA'</t>
  </si>
  <si>
    <t>PROGRAMMAZIONE, CONTROLLI E STATISTICA</t>
  </si>
  <si>
    <t>TECNOLOGIE ED ESERCIZIO</t>
  </si>
  <si>
    <t>SERVIZI ALL'INFANZIA</t>
  </si>
  <si>
    <t>FORMAZIONE PROFESSIONALE</t>
  </si>
  <si>
    <t>QUARTIERI</t>
  </si>
  <si>
    <t xml:space="preserve">DIREZIONE, AMM.NE/ALTRO </t>
  </si>
  <si>
    <t xml:space="preserve">LEGALE </t>
  </si>
  <si>
    <t xml:space="preserve">SEGRETERIA GENERALE </t>
  </si>
  <si>
    <t xml:space="preserve">CONTROLLO ATTI SUPPORTO ORGANI </t>
  </si>
  <si>
    <t>SISTEMI INFORMATIVI E TELEMATICI</t>
  </si>
  <si>
    <t>INTERVENTI PER DISABILI DELEGATI ALL'A.U.S.L.</t>
  </si>
  <si>
    <t xml:space="preserve">LABORATORI E AULE DIDATTICHE CENTRALI </t>
  </si>
  <si>
    <t xml:space="preserve">DIRITTO ALLO STUDIO/HANDICAP/RETE SCOLASTICA </t>
  </si>
  <si>
    <t xml:space="preserve">COMITATO BOLOGNA 2000  </t>
  </si>
  <si>
    <t xml:space="preserve">SALA BORSA </t>
  </si>
  <si>
    <t xml:space="preserve">BIBLIOTECHE </t>
  </si>
  <si>
    <t xml:space="preserve">SISTEMA DEI MUSEI E ATTIVITA' ESPOSITIVE </t>
  </si>
  <si>
    <t>PROGETTI E RELAZIONI INTERNAZIONALI</t>
  </si>
  <si>
    <t xml:space="preserve">ISTITUTI ALDINI VALERIANI E SIRANI </t>
  </si>
  <si>
    <t xml:space="preserve">SCAMBI INTERNAZIONALI E ISTITUZIONI ESTIVE </t>
  </si>
  <si>
    <t>NOTA RELATIVE ALLE MODIFICHE ORGANIZZATIVE E CONSEGUENTE RIALLOCAZIONE DELLE RISORSE:</t>
  </si>
  <si>
    <t xml:space="preserve">SERVIZI SOCIALI ANZIANI E DISABILI </t>
  </si>
  <si>
    <t>PROGRAMMAZIONE E CONTROLLI</t>
  </si>
  <si>
    <t xml:space="preserve">INFRASTRUTTURE </t>
  </si>
  <si>
    <t>STRADE E FOGNATURE</t>
  </si>
  <si>
    <t>SERVIZI SOCIALI PER ANZIANI</t>
  </si>
  <si>
    <t>SERVIZI SOCIALI PER DISABILI</t>
  </si>
  <si>
    <t xml:space="preserve">SERVIZI PER L'IMMIGRAZIONE </t>
  </si>
  <si>
    <t>ATTIVITA' CULTURALI E PALAZZO RE ENZO</t>
  </si>
  <si>
    <t>SOGGIORNI VACANZA</t>
  </si>
  <si>
    <t>SOGGIORNI STUDIO E PROMOZIONE SCAMBI SCOLASTICI</t>
  </si>
  <si>
    <t xml:space="preserve">GIOVANI </t>
  </si>
  <si>
    <t>QUALITA' AMBIENTALE</t>
  </si>
  <si>
    <t>PROCESSI URBANISTICI</t>
  </si>
  <si>
    <t>COMUNICAZIONE E RAPPORTI CON I CITTADINI</t>
  </si>
  <si>
    <t xml:space="preserve">PARCHEGGI E GESTIONE PIANO SOSTA  </t>
  </si>
  <si>
    <t>SERVIZI TECNICI</t>
  </si>
  <si>
    <t>COORDINAMENTO SUOLO E SOTTOSUOLO</t>
  </si>
  <si>
    <t>PROGETTI SPECIALI</t>
  </si>
  <si>
    <t>TRASPORTI</t>
  </si>
  <si>
    <t>MANUTENZIONE STRADE E SEGNALETICA</t>
  </si>
  <si>
    <t>MANUTENZIONE IMPIANTI</t>
  </si>
  <si>
    <t>MANUTENZIONE EDILIZIA</t>
  </si>
  <si>
    <t>SERVIZI DI COMUNICAZIONE</t>
  </si>
  <si>
    <t>SERVIZI DI ANAGRAFE</t>
  </si>
  <si>
    <t>COORDINAMENTO NUCLEO TERRITORIALE E CENTRO STORICO</t>
  </si>
  <si>
    <t xml:space="preserve">PROCEDURE AMMINISTRATIVE E POLIZIA GIUDIZIARIA </t>
  </si>
  <si>
    <t xml:space="preserve">MOBILITA' E SICUREZZA URBANA </t>
  </si>
  <si>
    <t>di cui fin.(*)</t>
  </si>
  <si>
    <t>* Per risorse "fin." si intendono le entrate derivanti da trasferimenti ed altro a cui corrisponde un'uscita vincolata.</t>
  </si>
  <si>
    <t>MOBILITA' URBANA (**)</t>
  </si>
  <si>
    <t>DIREZIONE, AMMINISTRAZIONE, CDG/ALTRO (**)</t>
  </si>
  <si>
    <t>PARTECIPAZIONI SOCIETARIE</t>
  </si>
  <si>
    <t>POLITICHE PER LA SICUREZZA</t>
  </si>
  <si>
    <t>PATRIMONIO</t>
  </si>
  <si>
    <t>LAVORI PUBBLICI</t>
  </si>
  <si>
    <t>POLIZIA MUNICIPALE E PROTEZIONE CIVILE</t>
  </si>
  <si>
    <t>MUSEO INTERNAZIONALE E BIBLIOTECA MUSICALE DI BOLOGNA</t>
  </si>
  <si>
    <t>AMBIENTE E VERDE URBANO</t>
  </si>
  <si>
    <t>SERVIZI DEMOGRAFICI</t>
  </si>
  <si>
    <t>DIRITTO ALLO STUDIO E ALTRE STRUTTURE EDUCATIVE</t>
  </si>
  <si>
    <t>CULTURA/GIOVANI/SPORT</t>
  </si>
  <si>
    <t>CULTURA E RAPPORTI CON L'UNIVERSITA'</t>
  </si>
  <si>
    <t xml:space="preserve">E' stata effettuata una riclassificazione delle risorse sulla struttura economica dei gruppi di centro di costo fatte salve alcuni eccezioni evidenziate in corsivo </t>
  </si>
  <si>
    <t>FORMAZIONE E CENTRO SERVIZI FORMATIVI</t>
  </si>
  <si>
    <t>INNOV. AMM.VA/REGOLAMENTI/CITTA' METROPOLITANA</t>
  </si>
  <si>
    <t>DIREZIONE, AMMINISTRAZIONE, CDG, /ALTRO</t>
  </si>
  <si>
    <t xml:space="preserve">SICUREZZA ED IMPIANTI </t>
  </si>
  <si>
    <t>URBANIZZAZIONI E PARTERNARIATO</t>
  </si>
  <si>
    <t>CONTRATTI SPECIALI</t>
  </si>
  <si>
    <t>MANUTENZIONE</t>
  </si>
  <si>
    <t>SERVIZI AUSILIARI MANUTENZIONE</t>
  </si>
  <si>
    <t>GESTIONE CONTRATTO HERA</t>
  </si>
  <si>
    <t>PROMOZIONE TURISTICA</t>
  </si>
  <si>
    <t>STAFF DEL CONSIGLIO</t>
  </si>
  <si>
    <t>LEGALE</t>
  </si>
  <si>
    <t>SEGRETERIA GENERALE</t>
  </si>
  <si>
    <t>MOBILITA' URBANA</t>
  </si>
  <si>
    <t>TOTALE CONSUMI SPECIFICI</t>
  </si>
  <si>
    <t>EDILIZIA SCOLASTICA</t>
  </si>
  <si>
    <t>GABINETTO E STAFF DEL SINDACO</t>
  </si>
  <si>
    <t>SETTORI DI STAFF POLITICO-ISTITUZIONALE</t>
  </si>
  <si>
    <t>SETTORI DI STAFF</t>
  </si>
  <si>
    <t>AFFARI ISTITUZIONALI E DECENTRAMENTO</t>
  </si>
  <si>
    <t>COORDINAMENTO AMMINISTRATIVO QUARTIERI</t>
  </si>
  <si>
    <t xml:space="preserve"> ACQUISTI BENI E SERVIZI</t>
  </si>
  <si>
    <t xml:space="preserve">FINANZA E RAGIONERIA </t>
  </si>
  <si>
    <t>SETTORI DI LINE</t>
  </si>
  <si>
    <t>COORDINAMENTO SOCIALE E SALUTE</t>
  </si>
  <si>
    <t>ISTRUZIONE E POLITICHE DELLE DIFFERENZE</t>
  </si>
  <si>
    <t>POLITICHE DELLE DIFFERENZE</t>
  </si>
  <si>
    <t xml:space="preserve">ATTIVITA' PRODUTTIVE E COMMERCIALI </t>
  </si>
  <si>
    <t>SPORT, GIOVANI E TURISMO</t>
  </si>
  <si>
    <t>TERRITORIO E URBANISTICA</t>
  </si>
  <si>
    <t>POLITICHE ABITATIVE</t>
  </si>
  <si>
    <t>NUOVE ISTITUZIONI MUSEALI</t>
  </si>
  <si>
    <t>SETTORI DI STAFF POLITICO ISTITUZIONALE</t>
  </si>
  <si>
    <t xml:space="preserve">SETTORI DI STAFF </t>
  </si>
  <si>
    <t>SETTORE AMMINISTRATIVO LAVORI E OPERE PUBBLICHE</t>
  </si>
  <si>
    <t>AFFARI ISTITUZIONALE E DECENTRAMENTO</t>
  </si>
  <si>
    <t>FINANZA E RAGIONERIA</t>
  </si>
  <si>
    <t>ATTIVITA' PRODUTTIVE E COMMERCIALI</t>
  </si>
  <si>
    <t>QUARTIERE SAN DONATO</t>
  </si>
  <si>
    <t>QUARTIERE SANTO STEFANO</t>
  </si>
  <si>
    <t>QUARTIERE SAN VITALE</t>
  </si>
  <si>
    <t>TORNA ALLA PRIMA PAGINA</t>
  </si>
  <si>
    <t>DIREZIONE GENERALE E PROGETTI SPECIALI</t>
  </si>
  <si>
    <t>PROG. E COORD. SERVIZI PER IL LAVORO E IL CONSUMATORE</t>
  </si>
  <si>
    <t>SALUTE E SERVIZI CIMITERIALI</t>
  </si>
  <si>
    <t xml:space="preserve">CONSUMI SPECIFICI: SERIE STORICA RICLASSIFICATA (1999- 2008) </t>
  </si>
  <si>
    <t>SERVIZI INVALIDI CIVILI</t>
  </si>
  <si>
    <t>ISTITUZIONE PER L'INCLUSIONE SOCIALE E COMUNITARIA</t>
  </si>
  <si>
    <t>SPORTELLO EDILIZIA E URBANISTICA</t>
  </si>
  <si>
    <t>SCUOLE DELL'INFANZIA</t>
  </si>
  <si>
    <t>NIDI E ALTRI SERVIZI E OPPORTUNITA' PRIMA INFANZIA</t>
  </si>
  <si>
    <t xml:space="preserve">NIDI </t>
  </si>
  <si>
    <t>NIDI</t>
  </si>
  <si>
    <t xml:space="preserve">ORGANIZZAZIONE E RELAZIONI SINDACALI </t>
  </si>
  <si>
    <t>GESTIONE RISORSE UMANE</t>
  </si>
  <si>
    <t>PROGRAMMAZIONE A.P.C. E SUPPORTO GIURIDICO</t>
  </si>
  <si>
    <t>SVILUPPO ECONOMICO</t>
  </si>
  <si>
    <t>GESTIONE A.P.C. E SPORTELLO IMPRESE</t>
  </si>
  <si>
    <t>(*) Il 2001 è al netto di contributi (€ 37.640 mgl) per trasporto pubblico locale da stato e regione trasferiti ad ATC</t>
  </si>
  <si>
    <t>MOBILITA' URBANA (*)</t>
  </si>
  <si>
    <t>DIREZIONE, AMMINISTRAZIONE, CDG/ALTRO (*)</t>
  </si>
  <si>
    <t>ACQUISTI BENI E SERVIZI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</si>
</sst>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  <numFmt numFmtId="182" formatCode="#,##0.0"/>
    <numFmt numFmtId="183" formatCode="#,##0_ ;\-#,##0\ 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Symbol"/>
      <family val="1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6"/>
      <name val="Symbol"/>
      <family val="1"/>
    </font>
    <font>
      <sz val="12"/>
      <name val="Symbol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11.5"/>
      <name val="Arial"/>
      <family val="0"/>
    </font>
    <font>
      <b/>
      <sz val="14.5"/>
      <name val="Arial"/>
      <family val="0"/>
    </font>
    <font>
      <sz val="8.25"/>
      <name val="Arial"/>
      <family val="2"/>
    </font>
    <font>
      <sz val="11.75"/>
      <name val="Arial"/>
      <family val="0"/>
    </font>
    <font>
      <sz val="11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0" fillId="0" borderId="0" xfId="18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2" xfId="0" applyFill="1" applyBorder="1" applyAlignment="1">
      <alignment/>
    </xf>
    <xf numFmtId="3" fontId="2" fillId="0" borderId="4" xfId="0" applyNumberFormat="1" applyFont="1" applyFill="1" applyBorder="1" applyAlignment="1">
      <alignment/>
    </xf>
    <xf numFmtId="41" fontId="0" fillId="0" borderId="0" xfId="18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1" fontId="1" fillId="0" borderId="4" xfId="18" applyFont="1" applyFill="1" applyBorder="1" applyAlignment="1">
      <alignment horizontal="right"/>
    </xf>
    <xf numFmtId="41" fontId="1" fillId="0" borderId="5" xfId="18" applyFont="1" applyFill="1" applyBorder="1" applyAlignment="1">
      <alignment horizontal="right"/>
    </xf>
    <xf numFmtId="41" fontId="1" fillId="0" borderId="5" xfId="18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41" fontId="1" fillId="0" borderId="4" xfId="18" applyFont="1" applyFill="1" applyBorder="1" applyAlignment="1">
      <alignment/>
    </xf>
    <xf numFmtId="41" fontId="1" fillId="0" borderId="5" xfId="18" applyFont="1" applyBorder="1" applyAlignment="1">
      <alignment/>
    </xf>
    <xf numFmtId="41" fontId="1" fillId="0" borderId="6" xfId="18" applyFont="1" applyFill="1" applyBorder="1" applyAlignment="1">
      <alignment/>
    </xf>
    <xf numFmtId="41" fontId="1" fillId="0" borderId="4" xfId="18" applyFont="1" applyBorder="1" applyAlignment="1">
      <alignment/>
    </xf>
    <xf numFmtId="0" fontId="0" fillId="2" borderId="0" xfId="0" applyFill="1" applyAlignment="1">
      <alignment/>
    </xf>
    <xf numFmtId="0" fontId="11" fillId="0" borderId="2" xfId="0" applyFont="1" applyFill="1" applyBorder="1" applyAlignment="1">
      <alignment/>
    </xf>
    <xf numFmtId="41" fontId="11" fillId="0" borderId="7" xfId="18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1" fontId="0" fillId="0" borderId="0" xfId="18" applyFill="1" applyAlignment="1">
      <alignment/>
    </xf>
    <xf numFmtId="41" fontId="1" fillId="0" borderId="0" xfId="18" applyFont="1" applyAlignment="1">
      <alignment/>
    </xf>
    <xf numFmtId="41" fontId="10" fillId="0" borderId="0" xfId="18" applyFont="1" applyBorder="1" applyAlignment="1">
      <alignment horizontal="centerContinuous"/>
    </xf>
    <xf numFmtId="41" fontId="2" fillId="3" borderId="8" xfId="18" applyFont="1" applyFill="1" applyBorder="1" applyAlignment="1">
      <alignment horizontal="centerContinuous"/>
    </xf>
    <xf numFmtId="41" fontId="2" fillId="4" borderId="9" xfId="18" applyFont="1" applyFill="1" applyBorder="1" applyAlignment="1">
      <alignment/>
    </xf>
    <xf numFmtId="41" fontId="11" fillId="0" borderId="4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2" fillId="4" borderId="8" xfId="18" applyFont="1" applyFill="1" applyBorder="1" applyAlignment="1">
      <alignment/>
    </xf>
    <xf numFmtId="41" fontId="2" fillId="4" borderId="4" xfId="18" applyFont="1" applyFill="1" applyBorder="1" applyAlignment="1">
      <alignment/>
    </xf>
    <xf numFmtId="41" fontId="1" fillId="0" borderId="4" xfId="18" applyFont="1" applyBorder="1" applyAlignment="1">
      <alignment horizontal="right"/>
    </xf>
    <xf numFmtId="41" fontId="1" fillId="0" borderId="7" xfId="18" applyFont="1" applyBorder="1" applyAlignment="1">
      <alignment horizontal="right"/>
    </xf>
    <xf numFmtId="41" fontId="1" fillId="0" borderId="7" xfId="18" applyFont="1" applyFill="1" applyBorder="1" applyAlignment="1">
      <alignment horizontal="right"/>
    </xf>
    <xf numFmtId="41" fontId="2" fillId="0" borderId="4" xfId="18" applyFont="1" applyFill="1" applyBorder="1" applyAlignment="1">
      <alignment/>
    </xf>
    <xf numFmtId="41" fontId="1" fillId="0" borderId="1" xfId="18" applyFont="1" applyFill="1" applyBorder="1" applyAlignment="1">
      <alignment/>
    </xf>
    <xf numFmtId="41" fontId="1" fillId="0" borderId="7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1" fillId="0" borderId="4" xfId="18" applyFont="1" applyBorder="1" applyAlignment="1">
      <alignment/>
    </xf>
    <xf numFmtId="41" fontId="5" fillId="5" borderId="7" xfId="18" applyFont="1" applyFill="1" applyBorder="1" applyAlignment="1">
      <alignment/>
    </xf>
    <xf numFmtId="41" fontId="1" fillId="0" borderId="0" xfId="18" applyFont="1" applyAlignment="1">
      <alignment/>
    </xf>
    <xf numFmtId="41" fontId="1" fillId="0" borderId="6" xfId="18" applyFont="1" applyBorder="1" applyAlignment="1">
      <alignment/>
    </xf>
    <xf numFmtId="41" fontId="2" fillId="4" borderId="10" xfId="18" applyFont="1" applyFill="1" applyBorder="1" applyAlignment="1">
      <alignment/>
    </xf>
    <xf numFmtId="41" fontId="2" fillId="4" borderId="8" xfId="18" applyFont="1" applyFill="1" applyBorder="1" applyAlignment="1">
      <alignment/>
    </xf>
    <xf numFmtId="41" fontId="1" fillId="0" borderId="5" xfId="18" applyFont="1" applyBorder="1" applyAlignment="1">
      <alignment horizontal="right"/>
    </xf>
    <xf numFmtId="41" fontId="1" fillId="0" borderId="0" xfId="18" applyFont="1" applyFill="1" applyAlignment="1">
      <alignment/>
    </xf>
    <xf numFmtId="41" fontId="4" fillId="0" borderId="0" xfId="18" applyFont="1" applyFill="1" applyAlignment="1">
      <alignment/>
    </xf>
    <xf numFmtId="41" fontId="15" fillId="0" borderId="0" xfId="18" applyFont="1" applyFill="1" applyBorder="1" applyAlignment="1">
      <alignment horizontal="left"/>
    </xf>
    <xf numFmtId="41" fontId="14" fillId="0" borderId="0" xfId="18" applyFont="1" applyBorder="1" applyAlignment="1">
      <alignment horizontal="centerContinuous"/>
    </xf>
    <xf numFmtId="41" fontId="1" fillId="0" borderId="0" xfId="18" applyFont="1" applyBorder="1" applyAlignment="1">
      <alignment/>
    </xf>
    <xf numFmtId="41" fontId="13" fillId="3" borderId="3" xfId="18" applyFont="1" applyFill="1" applyBorder="1" applyAlignment="1">
      <alignment horizontal="centerContinuous"/>
    </xf>
    <xf numFmtId="41" fontId="13" fillId="3" borderId="6" xfId="18" applyFont="1" applyFill="1" applyBorder="1" applyAlignment="1">
      <alignment horizontal="centerContinuous"/>
    </xf>
    <xf numFmtId="41" fontId="11" fillId="0" borderId="4" xfId="18" applyFont="1" applyFill="1" applyBorder="1" applyAlignment="1">
      <alignment horizontal="right"/>
    </xf>
    <xf numFmtId="41" fontId="11" fillId="0" borderId="5" xfId="18" applyFont="1" applyFill="1" applyBorder="1" applyAlignment="1">
      <alignment horizontal="right"/>
    </xf>
    <xf numFmtId="41" fontId="0" fillId="0" borderId="0" xfId="18" applyFill="1" applyBorder="1" applyAlignment="1">
      <alignment/>
    </xf>
    <xf numFmtId="41" fontId="1" fillId="0" borderId="6" xfId="18" applyFont="1" applyBorder="1" applyAlignment="1">
      <alignment horizontal="right"/>
    </xf>
    <xf numFmtId="41" fontId="11" fillId="0" borderId="5" xfId="18" applyFont="1" applyFill="1" applyBorder="1" applyAlignment="1">
      <alignment/>
    </xf>
    <xf numFmtId="41" fontId="11" fillId="0" borderId="4" xfId="18" applyFont="1" applyBorder="1" applyAlignment="1">
      <alignment/>
    </xf>
    <xf numFmtId="41" fontId="1" fillId="0" borderId="6" xfId="18" applyFont="1" applyFill="1" applyBorder="1" applyAlignment="1">
      <alignment horizontal="right"/>
    </xf>
    <xf numFmtId="41" fontId="1" fillId="0" borderId="0" xfId="18" applyFont="1" applyFill="1" applyBorder="1" applyAlignment="1">
      <alignment horizontal="right"/>
    </xf>
    <xf numFmtId="41" fontId="2" fillId="0" borderId="0" xfId="18" applyFont="1" applyFill="1" applyAlignment="1">
      <alignment/>
    </xf>
    <xf numFmtId="41" fontId="11" fillId="0" borderId="7" xfId="18" applyFont="1" applyFill="1" applyBorder="1" applyAlignment="1">
      <alignment horizontal="right"/>
    </xf>
    <xf numFmtId="41" fontId="11" fillId="0" borderId="6" xfId="18" applyFont="1" applyFill="1" applyBorder="1" applyAlignment="1">
      <alignment horizontal="right"/>
    </xf>
    <xf numFmtId="41" fontId="11" fillId="0" borderId="7" xfId="18" applyFont="1" applyBorder="1" applyAlignment="1">
      <alignment/>
    </xf>
    <xf numFmtId="41" fontId="12" fillId="0" borderId="0" xfId="18" applyFont="1" applyFill="1" applyAlignment="1">
      <alignment/>
    </xf>
    <xf numFmtId="41" fontId="0" fillId="2" borderId="0" xfId="18" applyFill="1" applyAlignment="1">
      <alignment/>
    </xf>
    <xf numFmtId="41" fontId="2" fillId="0" borderId="0" xfId="18" applyFont="1" applyFill="1" applyBorder="1" applyAlignment="1">
      <alignment/>
    </xf>
    <xf numFmtId="41" fontId="1" fillId="0" borderId="0" xfId="18" applyFont="1" applyBorder="1" applyAlignment="1">
      <alignment horizontal="right"/>
    </xf>
    <xf numFmtId="41" fontId="11" fillId="0" borderId="0" xfId="18" applyFont="1" applyFill="1" applyBorder="1" applyAlignment="1">
      <alignment horizontal="right"/>
    </xf>
    <xf numFmtId="41" fontId="1" fillId="0" borderId="4" xfId="18" applyFont="1" applyFill="1" applyBorder="1" applyAlignment="1">
      <alignment/>
    </xf>
    <xf numFmtId="41" fontId="1" fillId="0" borderId="0" xfId="18" applyFont="1" applyFill="1" applyBorder="1" applyAlignment="1">
      <alignment/>
    </xf>
    <xf numFmtId="41" fontId="1" fillId="0" borderId="4" xfId="18" applyFont="1" applyBorder="1" applyAlignment="1">
      <alignment horizontal="left"/>
    </xf>
    <xf numFmtId="41" fontId="1" fillId="0" borderId="5" xfId="18" applyFont="1" applyBorder="1" applyAlignment="1">
      <alignment/>
    </xf>
    <xf numFmtId="0" fontId="13" fillId="3" borderId="11" xfId="18" applyNumberFormat="1" applyFont="1" applyFill="1" applyBorder="1" applyAlignment="1">
      <alignment horizontal="centerContinuous"/>
    </xf>
    <xf numFmtId="0" fontId="13" fillId="3" borderId="12" xfId="18" applyNumberFormat="1" applyFont="1" applyFill="1" applyBorder="1" applyAlignment="1">
      <alignment horizontal="centerContinuous"/>
    </xf>
    <xf numFmtId="0" fontId="2" fillId="3" borderId="12" xfId="18" applyNumberFormat="1" applyFont="1" applyFill="1" applyBorder="1" applyAlignment="1">
      <alignment horizontal="centerContinuous"/>
    </xf>
    <xf numFmtId="0" fontId="16" fillId="0" borderId="1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7" fillId="4" borderId="11" xfId="15" applyFill="1" applyBorder="1" applyAlignment="1">
      <alignment/>
    </xf>
    <xf numFmtId="0" fontId="17" fillId="4" borderId="13" xfId="15" applyFill="1" applyBorder="1" applyAlignment="1">
      <alignment/>
    </xf>
    <xf numFmtId="0" fontId="17" fillId="4" borderId="1" xfId="15" applyFill="1" applyBorder="1" applyAlignment="1">
      <alignment/>
    </xf>
    <xf numFmtId="0" fontId="17" fillId="4" borderId="0" xfId="15" applyFill="1" applyBorder="1" applyAlignment="1">
      <alignment/>
    </xf>
    <xf numFmtId="0" fontId="17" fillId="2" borderId="13" xfId="15" applyFill="1" applyBorder="1" applyAlignment="1">
      <alignment/>
    </xf>
    <xf numFmtId="0" fontId="17" fillId="0" borderId="14" xfId="15" applyBorder="1" applyAlignment="1">
      <alignment/>
    </xf>
    <xf numFmtId="0" fontId="17" fillId="0" borderId="15" xfId="15" applyBorder="1" applyAlignment="1">
      <alignment/>
    </xf>
    <xf numFmtId="0" fontId="17" fillId="4" borderId="11" xfId="15" applyFont="1" applyFill="1" applyBorder="1" applyAlignment="1">
      <alignment/>
    </xf>
    <xf numFmtId="0" fontId="2" fillId="0" borderId="1" xfId="0" applyFont="1" applyFill="1" applyBorder="1" applyAlignment="1">
      <alignment/>
    </xf>
    <xf numFmtId="41" fontId="7" fillId="0" borderId="0" xfId="18" applyFont="1" applyFill="1" applyAlignment="1">
      <alignment/>
    </xf>
    <xf numFmtId="41" fontId="13" fillId="3" borderId="3" xfId="18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1" xfId="0" applyFont="1" applyFill="1" applyBorder="1" applyAlignment="1">
      <alignment/>
    </xf>
    <xf numFmtId="41" fontId="19" fillId="0" borderId="4" xfId="18" applyFont="1" applyBorder="1" applyAlignment="1">
      <alignment/>
    </xf>
    <xf numFmtId="41" fontId="19" fillId="0" borderId="0" xfId="18" applyFont="1" applyFill="1" applyAlignment="1">
      <alignment/>
    </xf>
    <xf numFmtId="0" fontId="19" fillId="0" borderId="0" xfId="0" applyFont="1" applyBorder="1" applyAlignment="1">
      <alignment/>
    </xf>
    <xf numFmtId="41" fontId="19" fillId="0" borderId="5" xfId="18" applyFont="1" applyBorder="1" applyAlignment="1">
      <alignment/>
    </xf>
    <xf numFmtId="0" fontId="17" fillId="0" borderId="1" xfId="15" applyFill="1" applyBorder="1" applyAlignment="1">
      <alignment/>
    </xf>
    <xf numFmtId="0" fontId="21" fillId="0" borderId="0" xfId="0" applyFont="1" applyBorder="1" applyAlignment="1">
      <alignment/>
    </xf>
    <xf numFmtId="41" fontId="21" fillId="0" borderId="4" xfId="18" applyFont="1" applyBorder="1" applyAlignment="1">
      <alignment/>
    </xf>
    <xf numFmtId="41" fontId="21" fillId="0" borderId="5" xfId="18" applyFont="1" applyBorder="1" applyAlignment="1">
      <alignment/>
    </xf>
    <xf numFmtId="0" fontId="20" fillId="0" borderId="3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21" fillId="0" borderId="2" xfId="0" applyFont="1" applyBorder="1" applyAlignment="1">
      <alignment/>
    </xf>
    <xf numFmtId="41" fontId="21" fillId="0" borderId="7" xfId="18" applyFont="1" applyBorder="1" applyAlignment="1">
      <alignment/>
    </xf>
    <xf numFmtId="41" fontId="21" fillId="0" borderId="6" xfId="18" applyFont="1" applyBorder="1" applyAlignment="1">
      <alignment/>
    </xf>
    <xf numFmtId="41" fontId="0" fillId="0" borderId="0" xfId="18" applyFont="1" applyFill="1" applyAlignment="1">
      <alignment/>
    </xf>
    <xf numFmtId="41" fontId="0" fillId="0" borderId="0" xfId="18" applyFill="1" applyAlignment="1">
      <alignment/>
    </xf>
    <xf numFmtId="0" fontId="13" fillId="3" borderId="9" xfId="18" applyNumberFormat="1" applyFont="1" applyFill="1" applyBorder="1" applyAlignment="1">
      <alignment horizontal="centerContinuous"/>
    </xf>
    <xf numFmtId="41" fontId="13" fillId="3" borderId="7" xfId="18" applyFont="1" applyFill="1" applyBorder="1" applyAlignment="1">
      <alignment horizontal="center"/>
    </xf>
    <xf numFmtId="178" fontId="0" fillId="0" borderId="0" xfId="18" applyNumberFormat="1" applyAlignment="1">
      <alignment/>
    </xf>
    <xf numFmtId="18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7" fillId="4" borderId="1" xfId="15" applyFont="1" applyFill="1" applyBorder="1" applyAlignment="1">
      <alignment/>
    </xf>
    <xf numFmtId="41" fontId="7" fillId="2" borderId="9" xfId="18" applyFont="1" applyFill="1" applyBorder="1" applyAlignment="1">
      <alignment/>
    </xf>
    <xf numFmtId="0" fontId="17" fillId="2" borderId="11" xfId="15" applyFont="1" applyFill="1" applyBorder="1" applyAlignment="1">
      <alignment/>
    </xf>
    <xf numFmtId="41" fontId="2" fillId="4" borderId="7" xfId="18" applyFont="1" applyFill="1" applyBorder="1" applyAlignment="1">
      <alignment/>
    </xf>
    <xf numFmtId="41" fontId="2" fillId="4" borderId="7" xfId="18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7" fillId="2" borderId="11" xfId="15" applyFill="1" applyBorder="1" applyAlignment="1">
      <alignment/>
    </xf>
    <xf numFmtId="0" fontId="17" fillId="0" borderId="0" xfId="15" applyAlignment="1">
      <alignment/>
    </xf>
    <xf numFmtId="0" fontId="1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7" fillId="2" borderId="12" xfId="15" applyFill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75"/>
          <c:w val="0.9627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 GEN'!$A$3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GEN'!$B$2:$K$2</c:f>
              <c:numCache/>
            </c:numRef>
          </c:cat>
          <c:val>
            <c:numRef>
              <c:f>'DIR GEN'!$B$3:$K$3</c:f>
              <c:numCache/>
            </c:numRef>
          </c:val>
        </c:ser>
        <c:ser>
          <c:idx val="0"/>
          <c:order val="1"/>
          <c:tx>
            <c:strRef>
              <c:f>'DIR GEN'!$A$4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GEN'!$B$2:$K$2</c:f>
              <c:numCache/>
            </c:numRef>
          </c:cat>
          <c:val>
            <c:numRef>
              <c:f>'DIR GEN'!$B$4:$K$4</c:f>
              <c:numCache/>
            </c:numRef>
          </c:val>
        </c:ser>
        <c:overlap val="100"/>
        <c:axId val="29183329"/>
        <c:axId val="61323370"/>
      </c:bar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23370"/>
        <c:crosses val="autoZero"/>
        <c:auto val="0"/>
        <c:lblOffset val="100"/>
        <c:noMultiLvlLbl val="0"/>
      </c:catAx>
      <c:valAx>
        <c:axId val="61323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833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1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'Partecipazione soc'!$A$6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'Partecipazione soc'!$B$2:$K$2</c:f>
              <c:numCache/>
            </c:numRef>
          </c:cat>
          <c:val>
            <c:numRef>
              <c:f>'Partecipazione soc'!$B$6:$K$6</c:f>
              <c:numCache/>
            </c:numRef>
          </c:val>
          <c:smooth val="0"/>
        </c:ser>
        <c:ser>
          <c:idx val="1"/>
          <c:order val="1"/>
          <c:tx>
            <c:strRef>
              <c:f>'Partecipazione soc'!$A$7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'Partecipazione soc'!$B$2:$K$2</c:f>
              <c:numCache/>
            </c:numRef>
          </c:cat>
          <c:val>
            <c:numRef>
              <c:f>'Partecipazione soc'!$B$7:$K$7</c:f>
              <c:numCache/>
            </c:numRef>
          </c:val>
          <c:smooth val="0"/>
        </c:ser>
        <c:marker val="1"/>
        <c:axId val="29911819"/>
        <c:axId val="770916"/>
      </c:line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916"/>
        <c:crossesAt val="10"/>
        <c:auto val="1"/>
        <c:lblOffset val="100"/>
        <c:noMultiLvlLbl val="0"/>
      </c:catAx>
      <c:valAx>
        <c:axId val="770916"/>
        <c:scaling>
          <c:orientation val="minMax"/>
          <c:max val="13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11819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SEGRETERIA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'Segreteria Generale'!$A$3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Generale'!$B$2:$K$2</c:f>
              <c:numCache/>
            </c:numRef>
          </c:cat>
          <c:val>
            <c:numRef>
              <c:f>'Segreteria Generale'!$B$3:$K$3</c:f>
              <c:numCache/>
            </c:numRef>
          </c:val>
        </c:ser>
        <c:ser>
          <c:idx val="0"/>
          <c:order val="1"/>
          <c:tx>
            <c:strRef>
              <c:f>'Segreteria Generale'!$A$4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Generale'!$B$2:$K$2</c:f>
              <c:numCache/>
            </c:numRef>
          </c:cat>
          <c:val>
            <c:numRef>
              <c:f>'Segreteria Generale'!$B$4:$K$4</c:f>
              <c:numCache/>
            </c:numRef>
          </c:val>
        </c:ser>
        <c:overlap val="100"/>
        <c:axId val="6938245"/>
        <c:axId val="62444206"/>
      </c:bar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44206"/>
        <c:crosses val="autoZero"/>
        <c:auto val="0"/>
        <c:lblOffset val="100"/>
        <c:noMultiLvlLbl val="0"/>
      </c:catAx>
      <c:valAx>
        <c:axId val="62444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3824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2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STAFF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'Settori di staff'!$A$3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staff'!$B$2:$K$2</c:f>
              <c:numCache/>
            </c:numRef>
          </c:cat>
          <c:val>
            <c:numRef>
              <c:f>'Settori di staff'!$B$3:$K$3</c:f>
              <c:numCache/>
            </c:numRef>
          </c:val>
        </c:ser>
        <c:ser>
          <c:idx val="0"/>
          <c:order val="1"/>
          <c:tx>
            <c:strRef>
              <c:f>'Settori di staff'!$A$4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staff'!$B$2:$K$2</c:f>
              <c:numCache/>
            </c:numRef>
          </c:cat>
          <c:val>
            <c:numRef>
              <c:f>'Settori di staff'!$B$4:$K$4</c:f>
              <c:numCache/>
            </c:numRef>
          </c:val>
        </c:ser>
        <c:overlap val="100"/>
        <c:axId val="25126943"/>
        <c:axId val="24815896"/>
      </c:bar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15896"/>
        <c:crossesAt val="0"/>
        <c:auto val="0"/>
        <c:lblOffset val="100"/>
        <c:noMultiLvlLbl val="0"/>
      </c:catAx>
      <c:valAx>
        <c:axId val="24815896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5126943"/>
        <c:crossesAt val="1"/>
        <c:crossBetween val="between"/>
        <c:dispUnits/>
        <c:majorUnit val="3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'Settori di staff'!$A$6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staff'!$B$2:$K$2</c:f>
              <c:numCache/>
            </c:numRef>
          </c:cat>
          <c:val>
            <c:numRef>
              <c:f>'Settori di staff'!$B$6:$K$6</c:f>
              <c:numCache/>
            </c:numRef>
          </c:val>
          <c:smooth val="0"/>
        </c:ser>
        <c:ser>
          <c:idx val="1"/>
          <c:order val="1"/>
          <c:tx>
            <c:strRef>
              <c:f>'Settori di staff'!$A$7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staff'!$B$2:$K$2</c:f>
              <c:numCache/>
            </c:numRef>
          </c:cat>
          <c:val>
            <c:numRef>
              <c:f>'Settori di staff'!$B$7:$K$7</c:f>
              <c:numCache/>
            </c:numRef>
          </c:val>
          <c:smooth val="0"/>
        </c:ser>
        <c:marker val="1"/>
        <c:axId val="22016473"/>
        <c:axId val="63930530"/>
      </c:line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30530"/>
        <c:crossesAt val="60"/>
        <c:auto val="1"/>
        <c:lblOffset val="100"/>
        <c:noMultiLvlLbl val="0"/>
      </c:catAx>
      <c:valAx>
        <c:axId val="63930530"/>
        <c:scaling>
          <c:orientation val="minMax"/>
          <c:max val="13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016473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SETTORE AMMINISTRATIVO LAVORI E OPERE PUBBLICHE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96225"/>
          <c:h val="0.7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'Amministrativo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'Amministrativo '!$B$2:$K$2</c:f>
              <c:numCache/>
            </c:numRef>
          </c:cat>
          <c:val>
            <c:numRef>
              <c:f>'Amministrativo '!$B$3:$K$3</c:f>
              <c:numCache/>
            </c:numRef>
          </c:val>
        </c:ser>
        <c:ser>
          <c:idx val="0"/>
          <c:order val="1"/>
          <c:tx>
            <c:strRef>
              <c:f>'Amministrativo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'Amministrativo '!$B$2:$K$2</c:f>
              <c:numCache/>
            </c:numRef>
          </c:cat>
          <c:val>
            <c:numRef>
              <c:f>'Amministrativo '!$B$4:$K$4</c:f>
              <c:numCache/>
            </c:numRef>
          </c:val>
        </c:ser>
        <c:overlap val="100"/>
        <c:axId val="38503859"/>
        <c:axId val="10990412"/>
      </c:bar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90412"/>
        <c:crosses val="autoZero"/>
        <c:auto val="0"/>
        <c:lblOffset val="100"/>
        <c:noMultiLvlLbl val="0"/>
      </c:catAx>
      <c:valAx>
        <c:axId val="1099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038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Legale!$A$3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Legale!$B$2:$K$2</c:f>
              <c:numCache/>
            </c:numRef>
          </c:cat>
          <c:val>
            <c:numRef>
              <c:f>Legale!$B$3:$K$3</c:f>
              <c:numCache/>
            </c:numRef>
          </c:val>
        </c:ser>
        <c:ser>
          <c:idx val="0"/>
          <c:order val="1"/>
          <c:tx>
            <c:strRef>
              <c:f>Legale!$A$4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Legale!$B$2:$K$2</c:f>
              <c:numCache/>
            </c:numRef>
          </c:cat>
          <c:val>
            <c:numRef>
              <c:f>Legale!$B$4:$K$4</c:f>
              <c:numCache/>
            </c:numRef>
          </c:val>
        </c:ser>
        <c:overlap val="100"/>
        <c:axId val="31804845"/>
        <c:axId val="17808150"/>
      </c:bar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08150"/>
        <c:crosses val="autoZero"/>
        <c:auto val="0"/>
        <c:lblOffset val="100"/>
        <c:noMultiLvlLbl val="0"/>
      </c:catAx>
      <c:valAx>
        <c:axId val="17808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0484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Legale!$A$6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Legale!$B$2:$K$2</c:f>
              <c:numCache/>
            </c:numRef>
          </c:cat>
          <c:val>
            <c:numRef>
              <c:f>Legale!$B$6:$K$6</c:f>
              <c:numCache/>
            </c:numRef>
          </c:val>
          <c:smooth val="0"/>
        </c:ser>
        <c:ser>
          <c:idx val="1"/>
          <c:order val="1"/>
          <c:tx>
            <c:strRef>
              <c:f>Legale!$A$7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Legale!$B$2:$K$2</c:f>
              <c:numCache/>
            </c:numRef>
          </c:cat>
          <c:val>
            <c:numRef>
              <c:f>Legale!$B$7:$K$7</c:f>
              <c:numCache/>
            </c:numRef>
          </c:val>
          <c:smooth val="0"/>
        </c:ser>
        <c:marker val="1"/>
        <c:axId val="26055623"/>
        <c:axId val="33174016"/>
      </c:line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74016"/>
        <c:crossesAt val="60"/>
        <c:auto val="1"/>
        <c:lblOffset val="100"/>
        <c:noMultiLvlLbl val="0"/>
      </c:catAx>
      <c:valAx>
        <c:axId val="33174016"/>
        <c:scaling>
          <c:orientation val="minMax"/>
          <c:max val="13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5562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AFFARI ISTITUZIONALE E DECENTRAMENTO</a:t>
            </a:r>
          </a:p>
        </c:rich>
      </c:tx>
      <c:layout>
        <c:manualLayout>
          <c:xMode val="factor"/>
          <c:yMode val="factor"/>
          <c:x val="0.0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25"/>
          <c:w val="0.96575"/>
          <c:h val="0.7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'Affari ist'!$A$3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ist'!$B$2:$K$2</c:f>
              <c:numCache/>
            </c:numRef>
          </c:cat>
          <c:val>
            <c:numRef>
              <c:f>'Affari ist'!$B$3:$K$3</c:f>
              <c:numCache/>
            </c:numRef>
          </c:val>
        </c:ser>
        <c:ser>
          <c:idx val="0"/>
          <c:order val="1"/>
          <c:tx>
            <c:strRef>
              <c:f>'Affari ist'!$A$4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ist'!$B$2:$K$2</c:f>
              <c:numCache/>
            </c:numRef>
          </c:cat>
          <c:val>
            <c:numRef>
              <c:f>'Affari ist'!$B$4:$K$4</c:f>
              <c:numCache/>
            </c:numRef>
          </c:val>
        </c:ser>
        <c:overlap val="100"/>
        <c:axId val="30130689"/>
        <c:axId val="2740746"/>
      </c:bar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auto val="0"/>
        <c:lblOffset val="100"/>
        <c:noMultiLvlLbl val="0"/>
      </c:catAx>
      <c:valAx>
        <c:axId val="274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306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5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'Affari ist'!$A$6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ist'!$B$2:$K$2</c:f>
              <c:numCache/>
            </c:numRef>
          </c:cat>
          <c:val>
            <c:numRef>
              <c:f>'Affari ist'!$B$6:$K$6</c:f>
              <c:numCache/>
            </c:numRef>
          </c:val>
          <c:smooth val="0"/>
        </c:ser>
        <c:ser>
          <c:idx val="1"/>
          <c:order val="1"/>
          <c:tx>
            <c:strRef>
              <c:f>'Affari ist'!$A$7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ist'!$B$2:$K$2</c:f>
              <c:numCache/>
            </c:numRef>
          </c:cat>
          <c:val>
            <c:numRef>
              <c:f>'Affari ist'!$B$7:$K$7</c:f>
              <c:numCache/>
            </c:numRef>
          </c:val>
          <c:smooth val="0"/>
        </c:ser>
        <c:marker val="1"/>
        <c:axId val="24666715"/>
        <c:axId val="20673844"/>
      </c:line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73844"/>
        <c:crossesAt val="0"/>
        <c:auto val="1"/>
        <c:lblOffset val="100"/>
        <c:noMultiLvlLbl val="0"/>
      </c:catAx>
      <c:valAx>
        <c:axId val="20673844"/>
        <c:scaling>
          <c:orientation val="minMax"/>
          <c:max val="13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666715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ACQUISTI BENI E SERVIZI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Acquisti!$A$3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Acquisti!$B$2:$K$2</c:f>
              <c:numCache/>
            </c:numRef>
          </c:cat>
          <c:val>
            <c:numRef>
              <c:f>Acquisti!$B$3:$K$3</c:f>
              <c:numCache/>
            </c:numRef>
          </c:val>
        </c:ser>
        <c:ser>
          <c:idx val="0"/>
          <c:order val="1"/>
          <c:tx>
            <c:strRef>
              <c:f>Acquisti!$A$4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Acquisti!$B$2:$K$2</c:f>
              <c:numCache/>
            </c:numRef>
          </c:cat>
          <c:val>
            <c:numRef>
              <c:f>Acquisti!$B$4:$K$4</c:f>
              <c:numCache/>
            </c:numRef>
          </c:val>
        </c:ser>
        <c:overlap val="100"/>
        <c:axId val="51846869"/>
        <c:axId val="63968638"/>
      </c:bar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auto val="0"/>
        <c:lblOffset val="100"/>
        <c:noMultiLvlLbl val="0"/>
      </c:catAx>
      <c:valAx>
        <c:axId val="6396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4686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2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925"/>
          <c:w val="0.954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'DIR GEN'!$A$6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GEN'!$B$2:$K$2</c:f>
              <c:numCache/>
            </c:numRef>
          </c:cat>
          <c:val>
            <c:numRef>
              <c:f>'DIR GEN'!$B$6:$K$6</c:f>
              <c:numCache/>
            </c:numRef>
          </c:val>
          <c:smooth val="0"/>
        </c:ser>
        <c:ser>
          <c:idx val="1"/>
          <c:order val="1"/>
          <c:tx>
            <c:strRef>
              <c:f>'DIR GEN'!$A$7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GEN'!$B$2:$K$2</c:f>
              <c:numCache/>
            </c:numRef>
          </c:cat>
          <c:val>
            <c:numRef>
              <c:f>'DIR GEN'!$B$7:$K$7</c:f>
              <c:numCache/>
            </c:numRef>
          </c:val>
          <c:smooth val="0"/>
        </c:ser>
        <c:marker val="1"/>
        <c:axId val="15039419"/>
        <c:axId val="1137044"/>
      </c:line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7044"/>
        <c:crossesAt val="100"/>
        <c:auto val="1"/>
        <c:lblOffset val="100"/>
        <c:noMultiLvlLbl val="0"/>
      </c:catAx>
      <c:valAx>
        <c:axId val="1137044"/>
        <c:scaling>
          <c:orientation val="minMax"/>
          <c:max val="250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9419"/>
        <c:crossesAt val="1"/>
        <c:crossBetween val="between"/>
        <c:dispUnits/>
        <c:majorUnit val="5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5"/>
          <c:w val="0.950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Acquisti!$A$6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Acquisti!$B$2:$K$2</c:f>
              <c:numCache/>
            </c:numRef>
          </c:cat>
          <c:val>
            <c:numRef>
              <c:f>Acquisti!$B$6:$K$6</c:f>
              <c:numCache/>
            </c:numRef>
          </c:val>
          <c:smooth val="0"/>
        </c:ser>
        <c:ser>
          <c:idx val="1"/>
          <c:order val="1"/>
          <c:tx>
            <c:strRef>
              <c:f>Acquisti!$A$7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Acquisti!$B$2:$K$2</c:f>
              <c:numCache/>
            </c:numRef>
          </c:cat>
          <c:val>
            <c:numRef>
              <c:f>Acquisti!$B$7:$K$7</c:f>
              <c:numCache/>
            </c:numRef>
          </c:val>
          <c:smooth val="0"/>
        </c:ser>
        <c:marker val="1"/>
        <c:axId val="38846831"/>
        <c:axId val="14077160"/>
      </c:line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77160"/>
        <c:crossesAt val="0"/>
        <c:auto val="1"/>
        <c:lblOffset val="100"/>
        <c:noMultiLvlLbl val="0"/>
      </c:catAx>
      <c:valAx>
        <c:axId val="14077160"/>
        <c:scaling>
          <c:orientation val="minMax"/>
          <c:max val="2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6831"/>
        <c:crossesAt val="1"/>
        <c:crossBetween val="between"/>
        <c:dispUnits/>
        <c:majorUnit val="25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E ORGANIZZAZIONE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'Personale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'!$B$2:$K$2</c:f>
              <c:numCache/>
            </c:numRef>
          </c:cat>
          <c:val>
            <c:numRef>
              <c:f>'Personale '!$B$3:$K$3</c:f>
              <c:numCache/>
            </c:numRef>
          </c:val>
        </c:ser>
        <c:ser>
          <c:idx val="0"/>
          <c:order val="1"/>
          <c:tx>
            <c:strRef>
              <c:f>'Personale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'!$B$2:$K$2</c:f>
              <c:numCache/>
            </c:numRef>
          </c:cat>
          <c:val>
            <c:numRef>
              <c:f>'Personale '!$B$4:$K$4</c:f>
              <c:numCache/>
            </c:numRef>
          </c:val>
        </c:ser>
        <c:overlap val="100"/>
        <c:axId val="59585577"/>
        <c:axId val="66508146"/>
      </c:bar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08146"/>
        <c:crosses val="autoZero"/>
        <c:auto val="0"/>
        <c:lblOffset val="100"/>
        <c:noMultiLvlLbl val="0"/>
      </c:catAx>
      <c:valAx>
        <c:axId val="66508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855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'Personale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'!$B$2:$K$2</c:f>
              <c:numCache/>
            </c:numRef>
          </c:cat>
          <c:val>
            <c:numRef>
              <c:f>'Personale '!$B$6:$K$6</c:f>
              <c:numCache/>
            </c:numRef>
          </c:val>
          <c:smooth val="0"/>
        </c:ser>
        <c:ser>
          <c:idx val="1"/>
          <c:order val="1"/>
          <c:tx>
            <c:strRef>
              <c:f>'Personale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'!$B$2:$K$2</c:f>
              <c:numCache/>
            </c:numRef>
          </c:cat>
          <c:val>
            <c:numRef>
              <c:f>'Personale '!$B$7:$K$7</c:f>
              <c:numCache/>
            </c:numRef>
          </c:val>
          <c:smooth val="0"/>
        </c:ser>
        <c:marker val="1"/>
        <c:axId val="61702403"/>
        <c:axId val="18450716"/>
      </c:line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50716"/>
        <c:crossesAt val="30"/>
        <c:auto val="1"/>
        <c:lblOffset val="100"/>
        <c:noMultiLvlLbl val="0"/>
      </c:catAx>
      <c:valAx>
        <c:axId val="18450716"/>
        <c:scaling>
          <c:orientation val="minMax"/>
          <c:max val="13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2403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PROGRAMMAZIONE, CONTROLLI E STATISTICA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25"/>
          <c:w val="0.96325"/>
          <c:h val="0.64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'P&amp;C'!$A$3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'P&amp;C'!$B$2:$K$2</c:f>
              <c:numCache/>
            </c:numRef>
          </c:cat>
          <c:val>
            <c:numRef>
              <c:f>'P&amp;C'!$B$3:$K$3</c:f>
              <c:numCache/>
            </c:numRef>
          </c:val>
        </c:ser>
        <c:ser>
          <c:idx val="0"/>
          <c:order val="1"/>
          <c:tx>
            <c:strRef>
              <c:f>'P&amp;C'!$A$4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'P&amp;C'!$B$2:$K$2</c:f>
              <c:numCache/>
            </c:numRef>
          </c:cat>
          <c:val>
            <c:numRef>
              <c:f>'P&amp;C'!$B$4:$K$4</c:f>
              <c:numCache/>
            </c:numRef>
          </c:val>
        </c:ser>
        <c:overlap val="100"/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2998"/>
        <c:crosses val="autoZero"/>
        <c:auto val="0"/>
        <c:lblOffset val="100"/>
        <c:noMultiLvlLbl val="0"/>
      </c:catAx>
      <c:valAx>
        <c:axId val="18112998"/>
        <c:scaling>
          <c:orientation val="minMax"/>
          <c:max val="120"/>
        </c:scaling>
        <c:axPos val="l"/>
        <c:delete val="0"/>
        <c:numFmt formatCode="General" sourceLinked="1"/>
        <c:majorTickMark val="out"/>
        <c:minorTickMark val="none"/>
        <c:tickLblPos val="nextTo"/>
        <c:crossAx val="3183871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'P&amp;C'!$A$6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'P&amp;C'!$B$2:$K$2</c:f>
              <c:numCache/>
            </c:numRef>
          </c:cat>
          <c:val>
            <c:numRef>
              <c:f>'P&amp;C'!$B$6:$K$6</c:f>
              <c:numCache/>
            </c:numRef>
          </c:val>
          <c:smooth val="0"/>
        </c:ser>
        <c:ser>
          <c:idx val="1"/>
          <c:order val="1"/>
          <c:tx>
            <c:strRef>
              <c:f>'P&amp;C'!$A$7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'P&amp;C'!$B$2:$K$2</c:f>
              <c:numCache/>
            </c:numRef>
          </c:cat>
          <c:val>
            <c:numRef>
              <c:f>'P&amp;C'!$B$7:$K$7</c:f>
              <c:numCache/>
            </c:numRef>
          </c:val>
          <c:smooth val="0"/>
        </c:ser>
        <c:marker val="1"/>
        <c:axId val="28799255"/>
        <c:axId val="57866704"/>
      </c:line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66704"/>
        <c:crossesAt val="30"/>
        <c:auto val="1"/>
        <c:lblOffset val="100"/>
        <c:noMultiLvlLbl val="0"/>
      </c:catAx>
      <c:valAx>
        <c:axId val="57866704"/>
        <c:scaling>
          <c:orientation val="minMax"/>
          <c:max val="14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9255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SISTEMI INFORMATIVI E TELEMATICI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'Sistemi info'!$A$3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info'!$B$2:$K$2</c:f>
              <c:numCache/>
            </c:numRef>
          </c:cat>
          <c:val>
            <c:numRef>
              <c:f>'Sistemi info'!$B$3:$K$3</c:f>
              <c:numCache/>
            </c:numRef>
          </c:val>
        </c:ser>
        <c:ser>
          <c:idx val="0"/>
          <c:order val="1"/>
          <c:tx>
            <c:strRef>
              <c:f>'Sistemi info'!$A$4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info'!$B$2:$K$2</c:f>
              <c:numCache/>
            </c:numRef>
          </c:cat>
          <c:val>
            <c:numRef>
              <c:f>'Sistemi info'!$B$4:$K$4</c:f>
              <c:numCache/>
            </c:numRef>
          </c:val>
        </c:ser>
        <c:overlap val="100"/>
        <c:axId val="51038289"/>
        <c:axId val="56691418"/>
      </c:bar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0"/>
        <c:lblOffset val="100"/>
        <c:noMultiLvlLbl val="0"/>
      </c:catAx>
      <c:valAx>
        <c:axId val="56691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382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6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'Sistemi info'!$A$6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info'!$B$2:$K$2</c:f>
              <c:numCache/>
            </c:numRef>
          </c:cat>
          <c:val>
            <c:numRef>
              <c:f>'Sistemi info'!$B$6:$K$6</c:f>
              <c:numCache/>
            </c:numRef>
          </c:val>
          <c:smooth val="0"/>
        </c:ser>
        <c:ser>
          <c:idx val="1"/>
          <c:order val="1"/>
          <c:tx>
            <c:strRef>
              <c:f>'Sistemi info'!$A$7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info'!$B$2:$K$2</c:f>
              <c:numCache/>
            </c:numRef>
          </c:cat>
          <c:val>
            <c:numRef>
              <c:f>'Sistemi info'!$B$7:$K$7</c:f>
              <c:numCache/>
            </c:numRef>
          </c:val>
          <c:smooth val="0"/>
        </c:ser>
        <c:marker val="1"/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02116"/>
        <c:crossesAt val="70"/>
        <c:auto val="1"/>
        <c:lblOffset val="100"/>
        <c:noMultiLvlLbl val="0"/>
      </c:catAx>
      <c:valAx>
        <c:axId val="28602116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6071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FINANZA E RAGIONERIA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Ragioneria!$A$3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Ragioneria!$B$2:$K$2</c:f>
              <c:numCache/>
            </c:numRef>
          </c:cat>
          <c:val>
            <c:numRef>
              <c:f>Ragioneria!$B$3:$K$3</c:f>
              <c:numCache/>
            </c:numRef>
          </c:val>
        </c:ser>
        <c:ser>
          <c:idx val="0"/>
          <c:order val="1"/>
          <c:tx>
            <c:strRef>
              <c:f>Ragioneria!$A$4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Ragioneria!$B$2:$K$2</c:f>
              <c:numCache/>
            </c:numRef>
          </c:cat>
          <c:val>
            <c:numRef>
              <c:f>Ragioneria!$B$4:$K$4</c:f>
              <c:numCache/>
            </c:numRef>
          </c:val>
        </c:ser>
        <c:overlap val="100"/>
        <c:axId val="56092453"/>
        <c:axId val="35070030"/>
      </c:bar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70030"/>
        <c:crosses val="autoZero"/>
        <c:auto val="0"/>
        <c:lblOffset val="100"/>
        <c:noMultiLvlLbl val="0"/>
      </c:catAx>
      <c:valAx>
        <c:axId val="35070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924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2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5"/>
          <c:w val="0.950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Ragioneria!$A$6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Ragioneria!$B$2:$K$2</c:f>
              <c:numCache/>
            </c:numRef>
          </c:cat>
          <c:val>
            <c:numRef>
              <c:f>Ragioneria!$B$6:$K$6</c:f>
              <c:numCache/>
            </c:numRef>
          </c:val>
          <c:smooth val="0"/>
        </c:ser>
        <c:ser>
          <c:idx val="1"/>
          <c:order val="1"/>
          <c:tx>
            <c:strRef>
              <c:f>Ragioneria!$A$7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Ragioneria!$B$2:$K$2</c:f>
              <c:numCache/>
            </c:numRef>
          </c:cat>
          <c:val>
            <c:numRef>
              <c:f>Ragioneria!$B$7:$K$7</c:f>
              <c:numCache/>
            </c:numRef>
          </c:val>
          <c:smooth val="0"/>
        </c:ser>
        <c:marker val="1"/>
        <c:axId val="47194815"/>
        <c:axId val="22100152"/>
      </c:line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00152"/>
        <c:crossesAt val="90"/>
        <c:auto val="1"/>
        <c:lblOffset val="100"/>
        <c:noMultiLvlLbl val="0"/>
      </c:catAx>
      <c:valAx>
        <c:axId val="22100152"/>
        <c:scaling>
          <c:orientation val="minMax"/>
          <c:max val="21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4815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COMUNICAZIONE E RAPPORTI CON I CITTADINI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75"/>
          <c:w val="0.9655"/>
          <c:h val="0.7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'Comunicazione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'!$B$2:$K$2</c:f>
              <c:numCache/>
            </c:numRef>
          </c:cat>
          <c:val>
            <c:numRef>
              <c:f>'Comunicazione '!$B$3:$K$3</c:f>
              <c:numCache/>
            </c:numRef>
          </c:val>
        </c:ser>
        <c:ser>
          <c:idx val="0"/>
          <c:order val="1"/>
          <c:tx>
            <c:strRef>
              <c:f>'Comunicazione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'!$B$2:$K$2</c:f>
              <c:numCache/>
            </c:numRef>
          </c:cat>
          <c:val>
            <c:numRef>
              <c:f>'Comunicazione '!$B$4:$K$4</c:f>
              <c:numCache/>
            </c:numRef>
          </c:val>
        </c:ser>
        <c:overlap val="100"/>
        <c:axId val="64683641"/>
        <c:axId val="45281858"/>
      </c:bar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81858"/>
        <c:crosses val="autoZero"/>
        <c:auto val="0"/>
        <c:lblOffset val="100"/>
        <c:noMultiLvlLbl val="0"/>
      </c:catAx>
      <c:valAx>
        <c:axId val="45281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836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STAFF POLITICO ISTITUZIONALE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politico isti'!$A$3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isti'!$B$2:$K$2</c:f>
              <c:numCache/>
            </c:numRef>
          </c:cat>
          <c:val>
            <c:numRef>
              <c:f>'Staff politico isti'!$B$3:$K$3</c:f>
              <c:numCache/>
            </c:numRef>
          </c:val>
        </c:ser>
        <c:ser>
          <c:idx val="0"/>
          <c:order val="1"/>
          <c:tx>
            <c:strRef>
              <c:f>'Staff politico isti'!$A$4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isti'!$B$2:$K$2</c:f>
              <c:numCache/>
            </c:numRef>
          </c:cat>
          <c:val>
            <c:numRef>
              <c:f>'Staff politico isti'!$B$4:$K$4</c:f>
              <c:numCache/>
            </c:numRef>
          </c:val>
        </c:ser>
        <c:overlap val="100"/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91710"/>
        <c:crosses val="autoZero"/>
        <c:auto val="0"/>
        <c:lblOffset val="100"/>
        <c:noMultiLvlLbl val="0"/>
      </c:catAx>
      <c:valAx>
        <c:axId val="24991710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extTo"/>
        <c:crossAx val="10233397"/>
        <c:crossesAt val="1"/>
        <c:crossBetween val="between"/>
        <c:dispUnits/>
        <c:maj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'Comunicazione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'!$B$2:$K$2</c:f>
              <c:numCache/>
            </c:numRef>
          </c:cat>
          <c:val>
            <c:numRef>
              <c:f>'Comunicazione '!$B$6:$K$6</c:f>
              <c:numCache/>
            </c:numRef>
          </c:val>
          <c:smooth val="0"/>
        </c:ser>
        <c:ser>
          <c:idx val="1"/>
          <c:order val="1"/>
          <c:tx>
            <c:strRef>
              <c:f>'Comunicazione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'!$B$2:$K$2</c:f>
              <c:numCache/>
            </c:numRef>
          </c:cat>
          <c:val>
            <c:numRef>
              <c:f>'Comunicazione '!$B$7:$K$7</c:f>
              <c:numCache/>
            </c:numRef>
          </c:val>
          <c:smooth val="0"/>
        </c:ser>
        <c:marker val="1"/>
        <c:axId val="4883539"/>
        <c:axId val="43951852"/>
      </c:lineChart>
      <c:cat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51852"/>
        <c:crossesAt val="20"/>
        <c:auto val="1"/>
        <c:lblOffset val="100"/>
        <c:noMultiLvlLbl val="0"/>
      </c:catAx>
      <c:valAx>
        <c:axId val="43951852"/>
        <c:scaling>
          <c:orientation val="minMax"/>
          <c:max val="13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53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'Settori di line'!$A$3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line'!$B$2:$K$2</c:f>
              <c:numCache/>
            </c:numRef>
          </c:cat>
          <c:val>
            <c:numRef>
              <c:f>'Settori di line'!$B$3:$K$3</c:f>
              <c:numCache/>
            </c:numRef>
          </c:val>
        </c:ser>
        <c:ser>
          <c:idx val="0"/>
          <c:order val="1"/>
          <c:tx>
            <c:strRef>
              <c:f>'Settori di line'!$A$4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line'!$B$2:$K$2</c:f>
              <c:numCache/>
            </c:numRef>
          </c:cat>
          <c:val>
            <c:numRef>
              <c:f>'Settori di line'!$B$4:$K$4</c:f>
              <c:numCache/>
            </c:numRef>
          </c:val>
        </c:ser>
        <c:overlap val="100"/>
        <c:axId val="60022349"/>
        <c:axId val="3330230"/>
      </c:bar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0230"/>
        <c:crossesAt val="0"/>
        <c:auto val="0"/>
        <c:lblOffset val="100"/>
        <c:noMultiLvlLbl val="0"/>
      </c:catAx>
      <c:valAx>
        <c:axId val="3330230"/>
        <c:scaling>
          <c:orientation val="minMax"/>
          <c:max val="1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0022349"/>
        <c:crossesAt val="1"/>
        <c:crossBetween val="between"/>
        <c:dispUnits/>
        <c:majorUnit val="25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6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'Settori di line'!$A$6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line'!$B$2:$K$2</c:f>
              <c:numCache/>
            </c:numRef>
          </c:cat>
          <c:val>
            <c:numRef>
              <c:f>'Settori di line'!$B$6:$K$6</c:f>
              <c:numCache/>
            </c:numRef>
          </c:val>
          <c:smooth val="0"/>
        </c:ser>
        <c:ser>
          <c:idx val="1"/>
          <c:order val="1"/>
          <c:tx>
            <c:strRef>
              <c:f>'Settori di line'!$A$7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line'!$B$2:$K$2</c:f>
              <c:numCache/>
            </c:numRef>
          </c:cat>
          <c:val>
            <c:numRef>
              <c:f>'Settori di line'!$B$7:$K$7</c:f>
              <c:numCache/>
            </c:numRef>
          </c:val>
          <c:smooth val="0"/>
        </c:ser>
        <c:marker val="1"/>
        <c:axId val="29972071"/>
        <c:axId val="1313184"/>
      </c:line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3184"/>
        <c:crossesAt val="100"/>
        <c:auto val="1"/>
        <c:lblOffset val="100"/>
        <c:noMultiLvlLbl val="0"/>
      </c:catAx>
      <c:valAx>
        <c:axId val="1313184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97207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LAVORI PUBBLICI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LLPP!$A$3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LLPP!$B$2:$K$2</c:f>
              <c:numCache/>
            </c:numRef>
          </c:cat>
          <c:val>
            <c:numRef>
              <c:f>LLPP!$B$3:$K$3</c:f>
              <c:numCache/>
            </c:numRef>
          </c:val>
        </c:ser>
        <c:ser>
          <c:idx val="0"/>
          <c:order val="1"/>
          <c:tx>
            <c:strRef>
              <c:f>LLPP!$A$4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LLPP!$B$2:$K$2</c:f>
              <c:numCache/>
            </c:numRef>
          </c:cat>
          <c:val>
            <c:numRef>
              <c:f>LLPP!$B$4:$K$4</c:f>
              <c:numCache/>
            </c:numRef>
          </c:val>
        </c:ser>
        <c:overlap val="100"/>
        <c:axId val="11818657"/>
        <c:axId val="39259050"/>
      </c:bar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59050"/>
        <c:crosses val="autoZero"/>
        <c:auto val="0"/>
        <c:lblOffset val="100"/>
        <c:noMultiLvlLbl val="0"/>
      </c:catAx>
      <c:valAx>
        <c:axId val="39259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1865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LLPP!$A$6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LLPP!$B$2:$K$2</c:f>
              <c:numCache/>
            </c:numRef>
          </c:cat>
          <c:val>
            <c:numRef>
              <c:f>LLPP!$B$6:$K$6</c:f>
              <c:numCache/>
            </c:numRef>
          </c:val>
          <c:smooth val="0"/>
        </c:ser>
        <c:ser>
          <c:idx val="1"/>
          <c:order val="1"/>
          <c:tx>
            <c:strRef>
              <c:f>LLPP!$A$7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LLPP!$B$2:$K$2</c:f>
              <c:numCache/>
            </c:numRef>
          </c:cat>
          <c:val>
            <c:numRef>
              <c:f>LLPP!$B$7:$K$7</c:f>
              <c:numCache/>
            </c:numRef>
          </c:val>
          <c:smooth val="0"/>
        </c:ser>
        <c:marker val="1"/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66452"/>
        <c:crossesAt val="100"/>
        <c:auto val="1"/>
        <c:lblOffset val="100"/>
        <c:noMultiLvlLbl val="0"/>
      </c:catAx>
      <c:valAx>
        <c:axId val="25866452"/>
        <c:scaling>
          <c:orientation val="minMax"/>
          <c:max val="125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78713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POLIZIA MUNICIPALE E PROTEZIONE CIVILE</a:t>
            </a:r>
          </a:p>
        </c:rich>
      </c:tx>
      <c:layout>
        <c:manualLayout>
          <c:xMode val="factor"/>
          <c:yMode val="factor"/>
          <c:x val="0.028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95"/>
          <c:w val="0.9655"/>
          <c:h val="0.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PM!$A$3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PM!$B$2:$K$2</c:f>
              <c:numCache/>
            </c:numRef>
          </c:cat>
          <c:val>
            <c:numRef>
              <c:f>PM!$B$3:$K$3</c:f>
              <c:numCache/>
            </c:numRef>
          </c:val>
        </c:ser>
        <c:ser>
          <c:idx val="0"/>
          <c:order val="1"/>
          <c:tx>
            <c:strRef>
              <c:f>PM!$A$4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PM!$B$2:$K$2</c:f>
              <c:numCache/>
            </c:numRef>
          </c:cat>
          <c:val>
            <c:numRef>
              <c:f>PM!$B$4:$K$4</c:f>
              <c:numCache/>
            </c:numRef>
          </c:val>
        </c:ser>
        <c:overlap val="100"/>
        <c:axId val="31471477"/>
        <c:axId val="14807838"/>
      </c:bar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07838"/>
        <c:crosses val="autoZero"/>
        <c:auto val="0"/>
        <c:lblOffset val="100"/>
        <c:noMultiLvlLbl val="0"/>
      </c:catAx>
      <c:valAx>
        <c:axId val="14807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714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PM!$A$6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PM!$B$2:$K$2</c:f>
              <c:numCache/>
            </c:numRef>
          </c:cat>
          <c:val>
            <c:numRef>
              <c:f>PM!$B$6:$K$6</c:f>
              <c:numCache/>
            </c:numRef>
          </c:val>
          <c:smooth val="0"/>
        </c:ser>
        <c:ser>
          <c:idx val="1"/>
          <c:order val="1"/>
          <c:tx>
            <c:strRef>
              <c:f>PM!$A$7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PM!$B$2:$K$2</c:f>
              <c:numCache/>
            </c:numRef>
          </c:cat>
          <c:val>
            <c:numRef>
              <c:f>PM!$B$7:$K$7</c:f>
              <c:numCache/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84200"/>
        <c:crossesAt val="100"/>
        <c:auto val="1"/>
        <c:lblOffset val="100"/>
        <c:noMultiLvlLbl val="0"/>
      </c:catAx>
      <c:valAx>
        <c:axId val="58584200"/>
        <c:scaling>
          <c:orientation val="minMax"/>
          <c:max val="4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61679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Entrate!$A$3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Entrate!$B$2:$K$2</c:f>
              <c:numCache/>
            </c:numRef>
          </c:cat>
          <c:val>
            <c:numRef>
              <c:f>Entrate!$B$3:$K$3</c:f>
              <c:numCache/>
            </c:numRef>
          </c:val>
        </c:ser>
        <c:ser>
          <c:idx val="0"/>
          <c:order val="1"/>
          <c:tx>
            <c:strRef>
              <c:f>Entrate!$A$4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Entrate!$B$2:$K$2</c:f>
              <c:numCache/>
            </c:numRef>
          </c:cat>
          <c:val>
            <c:numRef>
              <c:f>Entrate!$B$4:$K$4</c:f>
              <c:numCache/>
            </c:numRef>
          </c:val>
        </c:ser>
        <c:overlap val="100"/>
        <c:axId val="57495753"/>
        <c:axId val="47699730"/>
      </c:bar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99730"/>
        <c:crosses val="autoZero"/>
        <c:auto val="0"/>
        <c:lblOffset val="100"/>
        <c:noMultiLvlLbl val="0"/>
      </c:catAx>
      <c:valAx>
        <c:axId val="47699730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57495753"/>
        <c:crossesAt val="1"/>
        <c:crossBetween val="between"/>
        <c:dispUnits/>
        <c:majorUnit val="1000"/>
        <c:minorUnit val="5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4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Entrate!$A$6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Entrate!$B$2:$K$2</c:f>
              <c:numCache/>
            </c:numRef>
          </c:cat>
          <c:val>
            <c:numRef>
              <c:f>Entrate!$B$6:$K$6</c:f>
              <c:numCache/>
            </c:numRef>
          </c:val>
          <c:smooth val="0"/>
        </c:ser>
        <c:ser>
          <c:idx val="1"/>
          <c:order val="1"/>
          <c:tx>
            <c:strRef>
              <c:f>Entrate!$A$7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Entrate!$B$2:$K$2</c:f>
              <c:numCache/>
            </c:numRef>
          </c:cat>
          <c:val>
            <c:numRef>
              <c:f>Entrate!$B$7:$K$7</c:f>
              <c:numCache/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72892"/>
        <c:crossesAt val="100"/>
        <c:auto val="1"/>
        <c:lblOffset val="100"/>
        <c:noMultiLvlLbl val="0"/>
      </c:catAx>
      <c:valAx>
        <c:axId val="38472892"/>
        <c:scaling>
          <c:orientation val="minMax"/>
          <c:max val="8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43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PATRIMONIO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Patrimonio!$A$3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Patrimonio!$B$2:$K$2</c:f>
              <c:numCache/>
            </c:numRef>
          </c:cat>
          <c:val>
            <c:numRef>
              <c:f>Patrimonio!$B$3:$K$3</c:f>
              <c:numCache/>
            </c:numRef>
          </c:val>
        </c:ser>
        <c:ser>
          <c:idx val="0"/>
          <c:order val="1"/>
          <c:tx>
            <c:strRef>
              <c:f>Patrimonio!$A$4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Patrimonio!$B$2:$K$2</c:f>
              <c:numCache/>
            </c:numRef>
          </c:cat>
          <c:val>
            <c:numRef>
              <c:f>Patrimonio!$B$4:$K$4</c:f>
              <c:numCache/>
            </c:numRef>
          </c:val>
        </c:ser>
        <c:overlap val="100"/>
        <c:axId val="10711709"/>
        <c:axId val="29296518"/>
      </c:bar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 val="autoZero"/>
        <c:auto val="0"/>
        <c:lblOffset val="100"/>
        <c:noMultiLvlLbl val="0"/>
      </c:catAx>
      <c:valAx>
        <c:axId val="29296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1170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1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'Staff politico isti'!$A$6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isti'!$B$2:$K$2</c:f>
              <c:numCache/>
            </c:numRef>
          </c:cat>
          <c:val>
            <c:numRef>
              <c:f>'Staff politico isti'!$B$6:$K$6</c:f>
              <c:numCache/>
            </c:numRef>
          </c:val>
          <c:smooth val="0"/>
        </c:ser>
        <c:ser>
          <c:idx val="1"/>
          <c:order val="1"/>
          <c:tx>
            <c:strRef>
              <c:f>'Staff politico isti'!$A$7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isti'!$B$2:$K$2</c:f>
              <c:numCache/>
            </c:numRef>
          </c:cat>
          <c:val>
            <c:numRef>
              <c:f>'Staff politico isti'!$B$7:$K$7</c:f>
              <c:numCache/>
            </c:numRef>
          </c:val>
          <c:smooth val="0"/>
        </c:ser>
        <c:marker val="1"/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62600"/>
        <c:crossesAt val="70"/>
        <c:auto val="1"/>
        <c:lblOffset val="100"/>
        <c:noMultiLvlLbl val="0"/>
      </c:catAx>
      <c:valAx>
        <c:axId val="11062600"/>
        <c:scaling>
          <c:orientation val="minMax"/>
          <c:max val="17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59879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Patrimonio!$A$6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Patrimonio!$B$2:$K$2</c:f>
              <c:numCache/>
            </c:numRef>
          </c:cat>
          <c:val>
            <c:numRef>
              <c:f>Patrimonio!$B$6:$K$6</c:f>
              <c:numCache/>
            </c:numRef>
          </c:val>
          <c:smooth val="0"/>
        </c:ser>
        <c:ser>
          <c:idx val="1"/>
          <c:order val="1"/>
          <c:tx>
            <c:strRef>
              <c:f>Patrimonio!$A$7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Patrimonio!$B$2:$K$2</c:f>
              <c:numCache/>
            </c:numRef>
          </c:cat>
          <c:val>
            <c:numRef>
              <c:f>Patrimonio!$B$7:$K$7</c:f>
              <c:numCache/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At val="0"/>
        <c:auto val="1"/>
        <c:lblOffset val="100"/>
        <c:noMultiLvlLbl val="0"/>
      </c:catAx>
      <c:valAx>
        <c:axId val="24207728"/>
        <c:scaling>
          <c:orientation val="minMax"/>
          <c:max val="1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2071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SOCIALE E SALUTE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'Sociale e salute'!$A$3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salute'!$B$2:$K$2</c:f>
              <c:numCache/>
            </c:numRef>
          </c:cat>
          <c:val>
            <c:numRef>
              <c:f>'Sociale e salute'!$B$3:$K$3</c:f>
              <c:numCache/>
            </c:numRef>
          </c:val>
        </c:ser>
        <c:ser>
          <c:idx val="0"/>
          <c:order val="1"/>
          <c:tx>
            <c:strRef>
              <c:f>'Sociale e salute'!$A$4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salute'!$B$2:$K$2</c:f>
              <c:numCache/>
            </c:numRef>
          </c:cat>
          <c:val>
            <c:numRef>
              <c:f>'Sociale e salute'!$B$4:$K$4</c:f>
              <c:numCache/>
            </c:numRef>
          </c:val>
        </c:ser>
        <c:overlap val="100"/>
        <c:axId val="16542961"/>
        <c:axId val="14668922"/>
      </c:bar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auto val="0"/>
        <c:lblOffset val="100"/>
        <c:noMultiLvlLbl val="0"/>
      </c:catAx>
      <c:valAx>
        <c:axId val="14668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429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'Sociale e salute'!$A$6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salute'!$B$2:$K$2</c:f>
              <c:numCache/>
            </c:numRef>
          </c:cat>
          <c:val>
            <c:numRef>
              <c:f>'Sociale e salute'!$B$6:$K$6</c:f>
              <c:numCache/>
            </c:numRef>
          </c:val>
          <c:smooth val="0"/>
        </c:ser>
        <c:ser>
          <c:idx val="1"/>
          <c:order val="1"/>
          <c:tx>
            <c:strRef>
              <c:f>'Sociale e salute'!$A$7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salute'!$B$2:$K$2</c:f>
              <c:numCache/>
            </c:numRef>
          </c:cat>
          <c:val>
            <c:numRef>
              <c:f>'Sociale e salute'!$B$7:$K$7</c:f>
              <c:numCache/>
            </c:numRef>
          </c:val>
          <c:smooth val="0"/>
        </c:ser>
        <c:marker val="1"/>
        <c:axId val="64911435"/>
        <c:axId val="47332004"/>
      </c:line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32004"/>
        <c:crossesAt val="20"/>
        <c:auto val="1"/>
        <c:lblOffset val="100"/>
        <c:noMultiLvlLbl val="0"/>
      </c:catAx>
      <c:valAx>
        <c:axId val="47332004"/>
        <c:scaling>
          <c:orientation val="minMax"/>
          <c:max val="1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11435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ISTRUZIONE E POLITICHE DELLE DIFFERENZE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Istruzione!$A$3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Istruzione!$B$2:$K$2</c:f>
              <c:numCache/>
            </c:numRef>
          </c:cat>
          <c:val>
            <c:numRef>
              <c:f>Istruzione!$B$3:$K$3</c:f>
              <c:numCache/>
            </c:numRef>
          </c:val>
        </c:ser>
        <c:ser>
          <c:idx val="0"/>
          <c:order val="1"/>
          <c:tx>
            <c:strRef>
              <c:f>Istruzione!$A$4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Istruzione!$B$2:$K$2</c:f>
              <c:numCache/>
            </c:numRef>
          </c:cat>
          <c:val>
            <c:numRef>
              <c:f>Istruzione!$B$4:$K$4</c:f>
              <c:numCache/>
            </c:numRef>
          </c:val>
        </c:ser>
        <c:overlap val="100"/>
        <c:axId val="23334853"/>
        <c:axId val="8687086"/>
      </c:bar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0"/>
        <c:lblOffset val="100"/>
        <c:noMultiLvlLbl val="0"/>
      </c:catAx>
      <c:valAx>
        <c:axId val="868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348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Istruzione!$A$6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Istruzione!$B$2:$K$2</c:f>
              <c:numCache/>
            </c:numRef>
          </c:cat>
          <c:val>
            <c:numRef>
              <c:f>Istruzione!$B$6:$K$6</c:f>
              <c:numCache/>
            </c:numRef>
          </c:val>
          <c:smooth val="0"/>
        </c:ser>
        <c:ser>
          <c:idx val="1"/>
          <c:order val="1"/>
          <c:tx>
            <c:strRef>
              <c:f>Istruzione!$A$7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Istruzione!$B$2:$K$2</c:f>
              <c:numCache/>
            </c:numRef>
          </c:cat>
          <c:val>
            <c:numRef>
              <c:f>Istruzione!$B$7:$K$7</c:f>
              <c:numCache/>
            </c:numRef>
          </c:val>
          <c:smooth val="0"/>
        </c:ser>
        <c:marker val="1"/>
        <c:axId val="11074911"/>
        <c:axId val="32565336"/>
      </c:line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5336"/>
        <c:crossesAt val="10"/>
        <c:auto val="1"/>
        <c:lblOffset val="100"/>
        <c:noMultiLvlLbl val="0"/>
      </c:catAx>
      <c:valAx>
        <c:axId val="32565336"/>
        <c:scaling>
          <c:orientation val="minMax"/>
          <c:max val="25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4911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CULTURA E RAPPORTI CON L'UNIVERSITA'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Cultura!$A$3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Cultura!$B$2:$K$2</c:f>
              <c:numCache/>
            </c:numRef>
          </c:cat>
          <c:val>
            <c:numRef>
              <c:f>Cultura!$B$3:$K$3</c:f>
              <c:numCache/>
            </c:numRef>
          </c:val>
        </c:ser>
        <c:ser>
          <c:idx val="0"/>
          <c:order val="1"/>
          <c:tx>
            <c:strRef>
              <c:f>Cultura!$A$4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Cultura!$B$2:$K$2</c:f>
              <c:numCache/>
            </c:numRef>
          </c:cat>
          <c:val>
            <c:numRef>
              <c:f>Cultura!$B$4:$K$4</c:f>
              <c:numCache/>
            </c:numRef>
          </c:val>
        </c:ser>
        <c:overlap val="100"/>
        <c:axId val="24652569"/>
        <c:axId val="20546530"/>
      </c:bar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auto val="0"/>
        <c:lblOffset val="100"/>
        <c:noMultiLvlLbl val="0"/>
      </c:catAx>
      <c:valAx>
        <c:axId val="20546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5256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Cultura!$A$6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Cultura!$B$2:$K$2</c:f>
              <c:numCache/>
            </c:numRef>
          </c:cat>
          <c:val>
            <c:numRef>
              <c:f>Cultura!$B$6:$K$6</c:f>
              <c:numCache/>
            </c:numRef>
          </c:val>
          <c:smooth val="0"/>
        </c:ser>
        <c:ser>
          <c:idx val="1"/>
          <c:order val="1"/>
          <c:tx>
            <c:strRef>
              <c:f>Cultura!$A$7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Cultura!$B$2:$K$2</c:f>
              <c:numCache/>
            </c:numRef>
          </c:cat>
          <c:val>
            <c:numRef>
              <c:f>Cultura!$B$7:$K$7</c:f>
              <c:numCache/>
            </c:numRef>
          </c:val>
          <c:smooth val="0"/>
        </c:ser>
        <c:marker val="1"/>
        <c:axId val="50701043"/>
        <c:axId val="53656204"/>
      </c:line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56204"/>
        <c:crossesAt val="90"/>
        <c:auto val="1"/>
        <c:lblOffset val="100"/>
        <c:noMultiLvlLbl val="0"/>
      </c:catAx>
      <c:valAx>
        <c:axId val="53656204"/>
        <c:scaling>
          <c:orientation val="minMax"/>
          <c:max val="15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01043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ATTIVITA' PRODUTTIVE E COMMERCIALI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'Attività produttive'!$A$3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'Attività produttive'!$B$2:$K$2</c:f>
              <c:numCache/>
            </c:numRef>
          </c:cat>
          <c:val>
            <c:numRef>
              <c:f>'Attività produttive'!$B$3:$K$3</c:f>
              <c:numCache/>
            </c:numRef>
          </c:val>
        </c:ser>
        <c:ser>
          <c:idx val="0"/>
          <c:order val="1"/>
          <c:tx>
            <c:strRef>
              <c:f>'Attività produttive'!$A$4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'Attività produttive'!$B$2:$K$2</c:f>
              <c:numCache/>
            </c:numRef>
          </c:cat>
          <c:val>
            <c:numRef>
              <c:f>'Attività produttive'!$B$4:$K$4</c:f>
              <c:numCache/>
            </c:numRef>
          </c:val>
        </c:ser>
        <c:overlap val="100"/>
        <c:axId val="13143789"/>
        <c:axId val="51185238"/>
      </c:bar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auto val="0"/>
        <c:lblOffset val="100"/>
        <c:noMultiLvlLbl val="0"/>
      </c:catAx>
      <c:valAx>
        <c:axId val="5118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437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'Attività produttive'!$A$6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'Attività produttive'!$B$2:$K$2</c:f>
              <c:numCache/>
            </c:numRef>
          </c:cat>
          <c:val>
            <c:numRef>
              <c:f>'Attività produttive'!$B$6:$K$6</c:f>
              <c:numCache/>
            </c:numRef>
          </c:val>
          <c:smooth val="0"/>
        </c:ser>
        <c:ser>
          <c:idx val="1"/>
          <c:order val="1"/>
          <c:tx>
            <c:strRef>
              <c:f>'Attività produttive'!$A$7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'Attività produttive'!$B$2:$K$2</c:f>
              <c:numCache/>
            </c:numRef>
          </c:cat>
          <c:val>
            <c:numRef>
              <c:f>'Attività produttive'!$B$7:$K$7</c:f>
              <c:numCache/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63584"/>
        <c:crossesAt val="10"/>
        <c:auto val="1"/>
        <c:lblOffset val="100"/>
        <c:noMultiLvlLbl val="0"/>
      </c:catAx>
      <c:valAx>
        <c:axId val="52363584"/>
        <c:scaling>
          <c:orientation val="minMax"/>
          <c:max val="17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3959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SPORT, GIOVANI E TURISMO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Sport!$A$3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Sport!$B$2:$K$2</c:f>
              <c:numCache/>
            </c:numRef>
          </c:cat>
          <c:val>
            <c:numRef>
              <c:f>Sport!$B$3:$K$3</c:f>
              <c:numCache/>
            </c:numRef>
          </c:val>
        </c:ser>
        <c:ser>
          <c:idx val="0"/>
          <c:order val="1"/>
          <c:tx>
            <c:strRef>
              <c:f>Sport!$A$4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Sport!$B$2:$K$2</c:f>
              <c:numCache/>
            </c:numRef>
          </c:cat>
          <c:val>
            <c:numRef>
              <c:f>Sport!$B$4:$K$4</c:f>
              <c:numCache/>
            </c:numRef>
          </c:val>
        </c:ser>
        <c:overlap val="100"/>
        <c:axId val="1510209"/>
        <c:axId val="13591882"/>
      </c:bar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91882"/>
        <c:crosses val="autoZero"/>
        <c:auto val="0"/>
        <c:lblOffset val="100"/>
        <c:noMultiLvlLbl val="0"/>
      </c:catAx>
      <c:valAx>
        <c:axId val="1359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020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Gabinetto e staff del Sindaco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875"/>
          <c:w val="0.9632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Gabinetto!$A$3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Gabinetto!$B$2:$K$2</c:f>
              <c:numCache/>
            </c:numRef>
          </c:cat>
          <c:val>
            <c:numRef>
              <c:f>Gabinetto!$B$3:$K$3</c:f>
              <c:numCache/>
            </c:numRef>
          </c:val>
        </c:ser>
        <c:ser>
          <c:idx val="0"/>
          <c:order val="1"/>
          <c:tx>
            <c:strRef>
              <c:f>Gabinetto!$A$4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Gabinetto!$B$2:$K$2</c:f>
              <c:numCache/>
            </c:numRef>
          </c:cat>
          <c:val>
            <c:numRef>
              <c:f>Gabinetto!$B$4:$K$4</c:f>
              <c:numCache/>
            </c:numRef>
          </c:val>
        </c:ser>
        <c:overlap val="100"/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auto val="0"/>
        <c:lblOffset val="100"/>
        <c:noMultiLvlLbl val="0"/>
      </c:catAx>
      <c:valAx>
        <c:axId val="23655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45453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Sport!$A$6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Sport!$B$2:$K$2</c:f>
              <c:numCache/>
            </c:numRef>
          </c:cat>
          <c:val>
            <c:numRef>
              <c:f>Sport!$B$6:$K$6</c:f>
              <c:numCache/>
            </c:numRef>
          </c:val>
          <c:smooth val="0"/>
        </c:ser>
        <c:ser>
          <c:idx val="1"/>
          <c:order val="1"/>
          <c:tx>
            <c:strRef>
              <c:f>Sport!$A$7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Sport!$B$2:$K$2</c:f>
              <c:numCache/>
            </c:numRef>
          </c:cat>
          <c:val>
            <c:numRef>
              <c:f>Sport!$B$7:$K$7</c:f>
              <c:numCache/>
            </c:numRef>
          </c:val>
          <c:smooth val="0"/>
        </c:ser>
        <c:marker val="1"/>
        <c:axId val="55218075"/>
        <c:axId val="27200628"/>
      </c:line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At val="50"/>
        <c:auto val="1"/>
        <c:lblOffset val="100"/>
        <c:noMultiLvlLbl val="0"/>
      </c:catAx>
      <c:valAx>
        <c:axId val="27200628"/>
        <c:scaling>
          <c:orientation val="minMax"/>
          <c:max val="13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807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TERRITORIO E URBANISTICA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"/>
          <c:w val="0.9655"/>
          <c:h val="0.8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Territorio!$A$3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Territorio!$B$2:$K$2</c:f>
              <c:numCache/>
            </c:numRef>
          </c:cat>
          <c:val>
            <c:numRef>
              <c:f>Territorio!$B$3:$K$3</c:f>
              <c:numCache/>
            </c:numRef>
          </c:val>
        </c:ser>
        <c:ser>
          <c:idx val="0"/>
          <c:order val="1"/>
          <c:tx>
            <c:strRef>
              <c:f>Territorio!$A$4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Territorio!$B$2:$K$2</c:f>
              <c:numCache/>
            </c:numRef>
          </c:cat>
          <c:val>
            <c:numRef>
              <c:f>Territorio!$B$4:$K$4</c:f>
              <c:numCache/>
            </c:numRef>
          </c:val>
        </c:ser>
        <c:overlap val="100"/>
        <c:axId val="43479061"/>
        <c:axId val="55767230"/>
      </c:bar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67230"/>
        <c:crosses val="autoZero"/>
        <c:auto val="0"/>
        <c:lblOffset val="100"/>
        <c:noMultiLvlLbl val="0"/>
      </c:catAx>
      <c:valAx>
        <c:axId val="5576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790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Territorio!$A$6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Territorio!$B$2:$K$2</c:f>
              <c:numCache/>
            </c:numRef>
          </c:cat>
          <c:val>
            <c:numRef>
              <c:f>Territorio!$B$6:$K$6</c:f>
              <c:numCache/>
            </c:numRef>
          </c:val>
          <c:smooth val="0"/>
        </c:ser>
        <c:ser>
          <c:idx val="1"/>
          <c:order val="1"/>
          <c:tx>
            <c:strRef>
              <c:f>Territorio!$A$7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Territorio!$B$2:$K$2</c:f>
              <c:numCache/>
            </c:numRef>
          </c:cat>
          <c:val>
            <c:numRef>
              <c:f>Territorio!$B$7:$K$7</c:f>
              <c:numCache/>
            </c:numRef>
          </c:val>
          <c:smooth val="0"/>
        </c:ser>
        <c:marker val="1"/>
        <c:axId val="32143023"/>
        <c:axId val="20851752"/>
      </c:line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51752"/>
        <c:crossesAt val="10"/>
        <c:auto val="1"/>
        <c:lblOffset val="100"/>
        <c:noMultiLvlLbl val="0"/>
      </c:catAx>
      <c:valAx>
        <c:axId val="20851752"/>
        <c:scaling>
          <c:orientation val="minMax"/>
          <c:max val="13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3023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MOBILITA' URBANA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65"/>
          <c:w val="0.965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Mobilità!$A$3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Mobilità!$B$2:$K$2</c:f>
              <c:numCache/>
            </c:numRef>
          </c:cat>
          <c:val>
            <c:numRef>
              <c:f>Mobilità!$B$3:$K$3</c:f>
              <c:numCache/>
            </c:numRef>
          </c:val>
        </c:ser>
        <c:ser>
          <c:idx val="0"/>
          <c:order val="1"/>
          <c:tx>
            <c:strRef>
              <c:f>Mobilità!$A$4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Mobilità!$B$2:$K$2</c:f>
              <c:numCache/>
            </c:numRef>
          </c:cat>
          <c:val>
            <c:numRef>
              <c:f>Mobilità!$B$4:$K$4</c:f>
              <c:numCache/>
            </c:numRef>
          </c:val>
        </c:ser>
        <c:overlap val="100"/>
        <c:axId val="53448041"/>
        <c:axId val="11270322"/>
      </c:bar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70322"/>
        <c:crosses val="autoZero"/>
        <c:auto val="0"/>
        <c:lblOffset val="100"/>
        <c:noMultiLvlLbl val="0"/>
      </c:catAx>
      <c:valAx>
        <c:axId val="11270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480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Mobilità!$A$6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Mobilità!$B$2:$K$2</c:f>
              <c:numCache/>
            </c:numRef>
          </c:cat>
          <c:val>
            <c:numRef>
              <c:f>Mobilità!$B$6:$K$6</c:f>
              <c:numCache/>
            </c:numRef>
          </c:val>
          <c:smooth val="0"/>
        </c:ser>
        <c:ser>
          <c:idx val="1"/>
          <c:order val="1"/>
          <c:tx>
            <c:strRef>
              <c:f>Mobilità!$A$7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Mobilità!$B$2:$K$2</c:f>
              <c:numCache/>
            </c:numRef>
          </c:cat>
          <c:val>
            <c:numRef>
              <c:f>Mobilità!$B$7:$K$7</c:f>
              <c:numCache/>
            </c:numRef>
          </c:val>
          <c:smooth val="0"/>
        </c:ser>
        <c:marker val="1"/>
        <c:axId val="34324035"/>
        <c:axId val="40480860"/>
      </c:line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At val="90"/>
        <c:auto val="1"/>
        <c:lblOffset val="100"/>
        <c:noMultiLvlLbl val="0"/>
      </c:catAx>
      <c:valAx>
        <c:axId val="40480860"/>
        <c:scaling>
          <c:orientation val="minMax"/>
          <c:max val="24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4035"/>
        <c:crossesAt val="1"/>
        <c:crossBetween val="between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POLITICHE ABITATIVE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2"/>
          <c:w val="0.9655"/>
          <c:h val="0.7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Casa!$A$3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Casa!$B$2:$K$2</c:f>
              <c:numCache/>
            </c:numRef>
          </c:cat>
          <c:val>
            <c:numRef>
              <c:f>Casa!$B$3:$K$3</c:f>
              <c:numCache/>
            </c:numRef>
          </c:val>
        </c:ser>
        <c:ser>
          <c:idx val="0"/>
          <c:order val="1"/>
          <c:tx>
            <c:strRef>
              <c:f>Casa!$A$4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Casa!$B$2:$K$2</c:f>
              <c:numCache/>
            </c:numRef>
          </c:cat>
          <c:val>
            <c:numRef>
              <c:f>Casa!$B$4:$K$4</c:f>
              <c:numCache/>
            </c:numRef>
          </c:val>
        </c:ser>
        <c:overlap val="100"/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24198"/>
        <c:crosses val="autoZero"/>
        <c:auto val="0"/>
        <c:lblOffset val="100"/>
        <c:noMultiLvlLbl val="0"/>
      </c:catAx>
      <c:valAx>
        <c:axId val="57724198"/>
        <c:scaling>
          <c:orientation val="minMax"/>
          <c:max val="7000"/>
        </c:scaling>
        <c:axPos val="l"/>
        <c:delete val="0"/>
        <c:numFmt formatCode="General" sourceLinked="1"/>
        <c:majorTickMark val="out"/>
        <c:minorTickMark val="none"/>
        <c:tickLblPos val="nextTo"/>
        <c:crossAx val="2878342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Casa!$A$6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Casa!$B$2:$K$2</c:f>
              <c:numCache/>
            </c:numRef>
          </c:cat>
          <c:val>
            <c:numRef>
              <c:f>Casa!$B$6:$K$6</c:f>
              <c:numCache/>
            </c:numRef>
          </c:val>
          <c:smooth val="0"/>
        </c:ser>
        <c:ser>
          <c:idx val="1"/>
          <c:order val="1"/>
          <c:tx>
            <c:strRef>
              <c:f>Casa!$A$7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Casa!$B$2:$K$2</c:f>
              <c:numCache/>
            </c:numRef>
          </c:cat>
          <c:val>
            <c:numRef>
              <c:f>Casa!$B$7:$K$7</c:f>
              <c:numCache/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48432"/>
        <c:crossesAt val="0"/>
        <c:auto val="1"/>
        <c:lblOffset val="100"/>
        <c:noMultiLvlLbl val="0"/>
      </c:catAx>
      <c:valAx>
        <c:axId val="45148432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55735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AMBIENTE E VERDE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55"/>
          <c:w val="0.9655"/>
          <c:h val="0.7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'Ambiente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'!$B$2:$K$2</c:f>
              <c:numCache/>
            </c:numRef>
          </c:cat>
          <c:val>
            <c:numRef>
              <c:f>'Ambiente '!$B$3:$K$3</c:f>
              <c:numCache/>
            </c:numRef>
          </c:val>
        </c:ser>
        <c:ser>
          <c:idx val="0"/>
          <c:order val="1"/>
          <c:tx>
            <c:strRef>
              <c:f>'Ambiente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'!$B$2:$K$2</c:f>
              <c:numCache/>
            </c:numRef>
          </c:cat>
          <c:val>
            <c:numRef>
              <c:f>'Ambiente '!$B$4:$K$4</c:f>
              <c:numCache/>
            </c:numRef>
          </c:val>
        </c:ser>
        <c:overlap val="100"/>
        <c:axId val="3682705"/>
        <c:axId val="33144346"/>
      </c:bar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44346"/>
        <c:crosses val="autoZero"/>
        <c:auto val="0"/>
        <c:lblOffset val="100"/>
        <c:noMultiLvlLbl val="0"/>
      </c:catAx>
      <c:valAx>
        <c:axId val="33144346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extTo"/>
        <c:crossAx val="36827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'Ambiente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'!$B$2:$K$2</c:f>
              <c:numCache/>
            </c:numRef>
          </c:cat>
          <c:val>
            <c:numRef>
              <c:f>'Ambiente '!$B$6:$K$6</c:f>
              <c:numCache/>
            </c:numRef>
          </c:val>
          <c:smooth val="0"/>
        </c:ser>
        <c:ser>
          <c:idx val="1"/>
          <c:order val="1"/>
          <c:tx>
            <c:strRef>
              <c:f>'Ambiente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'!$B$2:$K$2</c:f>
              <c:numCache/>
            </c:numRef>
          </c:cat>
          <c:val>
            <c:numRef>
              <c:f>'Ambiente '!$B$7:$K$7</c:f>
              <c:numCache/>
            </c:numRef>
          </c:val>
          <c:smooth val="0"/>
        </c:ser>
        <c:marker val="1"/>
        <c:axId val="29863659"/>
        <c:axId val="337476"/>
      </c:line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At val="80"/>
        <c:auto val="1"/>
        <c:lblOffset val="100"/>
        <c:noMultiLvlLbl val="0"/>
      </c:catAx>
      <c:valAx>
        <c:axId val="337476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6365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SERVIZI DEMOGRAFICI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'Servizi demografici'!$A$3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'Servizi demografici'!$B$2:$K$2</c:f>
              <c:numCache/>
            </c:numRef>
          </c:cat>
          <c:val>
            <c:numRef>
              <c:f>'Servizi demografici'!$B$3:$K$3</c:f>
              <c:numCache/>
            </c:numRef>
          </c:val>
        </c:ser>
        <c:ser>
          <c:idx val="0"/>
          <c:order val="1"/>
          <c:tx>
            <c:strRef>
              <c:f>'Servizi demografici'!$A$4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'Servizi demografici'!$B$2:$K$2</c:f>
              <c:numCache/>
            </c:numRef>
          </c:cat>
          <c:val>
            <c:numRef>
              <c:f>'Servizi demografici'!$B$4:$K$4</c:f>
              <c:numCache/>
            </c:numRef>
          </c:val>
        </c:ser>
        <c:overlap val="100"/>
        <c:axId val="3037285"/>
        <c:axId val="27335566"/>
      </c:barChart>
      <c:cat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auto val="0"/>
        <c:lblOffset val="100"/>
        <c:noMultiLvlLbl val="0"/>
      </c:catAx>
      <c:valAx>
        <c:axId val="27335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728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775"/>
          <c:w val="0.9522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Gabinetto!$A$6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Gabinetto!$B$2:$K$2</c:f>
              <c:numCache/>
            </c:numRef>
          </c:cat>
          <c:val>
            <c:numRef>
              <c:f>Gabinetto!$B$6:$K$6</c:f>
              <c:numCache/>
            </c:numRef>
          </c:val>
          <c:smooth val="0"/>
        </c:ser>
        <c:ser>
          <c:idx val="1"/>
          <c:order val="1"/>
          <c:tx>
            <c:strRef>
              <c:f>Gabinetto!$A$7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Gabinetto!$B$2:$K$2</c:f>
              <c:numCache/>
            </c:numRef>
          </c:cat>
          <c:val>
            <c:numRef>
              <c:f>Gabinetto!$B$7:$K$7</c:f>
              <c:numCache/>
            </c:numRef>
          </c:val>
          <c:smooth val="0"/>
        </c:ser>
        <c:marker val="1"/>
        <c:axId val="11571811"/>
        <c:axId val="37037436"/>
      </c:line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37436"/>
        <c:crossesAt val="30"/>
        <c:auto val="1"/>
        <c:lblOffset val="100"/>
        <c:noMultiLvlLbl val="0"/>
      </c:catAx>
      <c:valAx>
        <c:axId val="37037436"/>
        <c:scaling>
          <c:orientation val="minMax"/>
          <c:max val="19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71811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'Servizi demografici'!$A$6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demografici'!$B$2:$K$2</c:f>
              <c:numCache/>
            </c:numRef>
          </c:cat>
          <c:val>
            <c:numRef>
              <c:f>'Servizi demografici'!$B$6:$K$6</c:f>
              <c:numCache/>
            </c:numRef>
          </c:val>
          <c:smooth val="0"/>
        </c:ser>
        <c:ser>
          <c:idx val="1"/>
          <c:order val="1"/>
          <c:tx>
            <c:strRef>
              <c:f>'Servizi demografici'!$A$7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demografici'!$B$2:$K$2</c:f>
              <c:numCache/>
            </c:numRef>
          </c:cat>
          <c:val>
            <c:numRef>
              <c:f>'Servizi demografici'!$B$7:$K$7</c:f>
              <c:numCache/>
            </c:numRef>
          </c:val>
          <c:smooth val="0"/>
        </c:ser>
        <c:marker val="1"/>
        <c:axId val="44693503"/>
        <c:axId val="66697208"/>
      </c:line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At val="50"/>
        <c:auto val="1"/>
        <c:lblOffset val="100"/>
        <c:noMultiLvlLbl val="0"/>
      </c:catAx>
      <c:valAx>
        <c:axId val="66697208"/>
        <c:scaling>
          <c:orientation val="minMax"/>
          <c:max val="27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3503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375"/>
          <c:w val="0.966"/>
          <c:h val="0.8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Quartieri!$A$3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Quartieri!$B$2:$K$2</c:f>
              <c:numCache/>
            </c:numRef>
          </c:cat>
          <c:val>
            <c:numRef>
              <c:f>Quartieri!$B$3:$K$3</c:f>
              <c:numCache/>
            </c:numRef>
          </c:val>
        </c:ser>
        <c:ser>
          <c:idx val="0"/>
          <c:order val="1"/>
          <c:tx>
            <c:strRef>
              <c:f>Quartieri!$A$4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Quartieri!$B$2:$K$2</c:f>
              <c:numCache/>
            </c:numRef>
          </c:cat>
          <c:val>
            <c:numRef>
              <c:f>Quartieri!$B$4:$K$4</c:f>
              <c:numCache/>
            </c:numRef>
          </c:val>
        </c:ser>
        <c:overlap val="100"/>
        <c:axId val="63403961"/>
        <c:axId val="33764738"/>
      </c:bar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64738"/>
        <c:crosses val="autoZero"/>
        <c:auto val="0"/>
        <c:lblOffset val="100"/>
        <c:noMultiLvlLbl val="0"/>
      </c:catAx>
      <c:valAx>
        <c:axId val="3376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039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Quartieri!$A$6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Quartieri!$B$2:$K$2</c:f>
              <c:numCache/>
            </c:numRef>
          </c:cat>
          <c:val>
            <c:numRef>
              <c:f>Quartieri!$B$6:$K$6</c:f>
              <c:numCache/>
            </c:numRef>
          </c:val>
          <c:smooth val="0"/>
        </c:ser>
        <c:ser>
          <c:idx val="1"/>
          <c:order val="1"/>
          <c:tx>
            <c:strRef>
              <c:f>Quartieri!$A$7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Quartieri!$B$2:$K$2</c:f>
              <c:numCache/>
            </c:numRef>
          </c:cat>
          <c:val>
            <c:numRef>
              <c:f>Quartieri!$B$7:$K$7</c:f>
              <c:numCache/>
            </c:numRef>
          </c:val>
          <c:smooth val="0"/>
        </c:ser>
        <c:marker val="1"/>
        <c:axId val="35447187"/>
        <c:axId val="50589228"/>
      </c:line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89228"/>
        <c:crossesAt val="100"/>
        <c:auto val="1"/>
        <c:lblOffset val="100"/>
        <c:noMultiLvlLbl val="0"/>
      </c:catAx>
      <c:valAx>
        <c:axId val="50589228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718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AMMINISTRATIVO 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'Coord Quartieri'!$A$3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Quartieri'!$B$2:$K$2</c:f>
              <c:numCache/>
            </c:numRef>
          </c:cat>
          <c:val>
            <c:numRef>
              <c:f>'Coord Quartieri'!$B$3:$K$3</c:f>
              <c:numCache/>
            </c:numRef>
          </c:val>
        </c:ser>
        <c:ser>
          <c:idx val="0"/>
          <c:order val="1"/>
          <c:tx>
            <c:strRef>
              <c:f>'Coord Quartieri'!$A$4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Quartieri'!$B$2:$K$2</c:f>
              <c:numCache/>
            </c:numRef>
          </c:cat>
          <c:val>
            <c:numRef>
              <c:f>'Coord Quartieri'!$B$4:$K$4</c:f>
              <c:numCache/>
            </c:numRef>
          </c:val>
        </c:ser>
        <c:overlap val="100"/>
        <c:axId val="52649869"/>
        <c:axId val="4086774"/>
      </c:barChart>
      <c:catAx>
        <c:axId val="526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6774"/>
        <c:crossesAt val="0"/>
        <c:auto val="0"/>
        <c:lblOffset val="100"/>
        <c:noMultiLvlLbl val="0"/>
      </c:catAx>
      <c:valAx>
        <c:axId val="4086774"/>
        <c:scaling>
          <c:orientation val="minMax"/>
          <c:max val="3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2649869"/>
        <c:crossesAt val="1"/>
        <c:crossBetween val="between"/>
        <c:dispUnits/>
        <c:majorUnit val="5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4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'Coord Quartieri'!$A$6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Quartieri'!$B$2:$K$2</c:f>
              <c:numCache/>
            </c:numRef>
          </c:cat>
          <c:val>
            <c:numRef>
              <c:f>'Coord Quartieri'!$B$6:$K$6</c:f>
              <c:numCache/>
            </c:numRef>
          </c:val>
          <c:smooth val="0"/>
        </c:ser>
        <c:ser>
          <c:idx val="1"/>
          <c:order val="1"/>
          <c:tx>
            <c:strRef>
              <c:f>'Coord Quartieri'!$A$7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Quartieri'!$B$2:$K$2</c:f>
              <c:numCache/>
            </c:numRef>
          </c:cat>
          <c:val>
            <c:numRef>
              <c:f>'Coord Quartieri'!$B$7:$K$7</c:f>
              <c:numCache/>
            </c:numRef>
          </c:val>
          <c:smooth val="0"/>
        </c:ser>
        <c:marker val="1"/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93248"/>
        <c:crossesAt val="100"/>
        <c:auto val="1"/>
        <c:lblOffset val="100"/>
        <c:noMultiLvlLbl val="0"/>
      </c:catAx>
      <c:valAx>
        <c:axId val="62593248"/>
        <c:scaling>
          <c:orientation val="minMax"/>
          <c:max val="18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80967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BORGO PANIGALE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'Q.Borgo'!$A$3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'Q.Borgo'!$B$2:$K$2</c:f>
              <c:numCache/>
            </c:numRef>
          </c:cat>
          <c:val>
            <c:numRef>
              <c:f>'Q.Borgo'!$B$3:$K$3</c:f>
              <c:numCache/>
            </c:numRef>
          </c:val>
        </c:ser>
        <c:ser>
          <c:idx val="0"/>
          <c:order val="1"/>
          <c:tx>
            <c:strRef>
              <c:f>'Q.Borgo'!$A$4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'Q.Borgo'!$B$2:$K$2</c:f>
              <c:numCache/>
            </c:numRef>
          </c:cat>
          <c:val>
            <c:numRef>
              <c:f>'Q.Borgo'!$B$4:$K$4</c:f>
              <c:numCache/>
            </c:numRef>
          </c:val>
        </c:ser>
        <c:overlap val="100"/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 val="autoZero"/>
        <c:auto val="0"/>
        <c:lblOffset val="100"/>
        <c:noMultiLvlLbl val="0"/>
      </c:catAx>
      <c:valAx>
        <c:axId val="3688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6832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'Q.Borgo'!$A$6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'Q.Borgo'!$B$2:$K$2</c:f>
              <c:numCache/>
            </c:numRef>
          </c:cat>
          <c:val>
            <c:numRef>
              <c:f>'Q.Borgo'!$B$6:$K$6</c:f>
              <c:numCache/>
            </c:numRef>
          </c:val>
          <c:smooth val="0"/>
        </c:ser>
        <c:ser>
          <c:idx val="1"/>
          <c:order val="1"/>
          <c:tx>
            <c:strRef>
              <c:f>'Q.Borgo'!$A$7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'Q.Borgo'!$B$2:$K$2</c:f>
              <c:numCache/>
            </c:numRef>
          </c:cat>
          <c:val>
            <c:numRef>
              <c:f>'Q.Borgo'!$B$7:$K$7</c:f>
              <c:numCache/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At val="100"/>
        <c:auto val="1"/>
        <c:lblOffset val="100"/>
        <c:noMultiLvlLbl val="0"/>
      </c:catAx>
      <c:valAx>
        <c:axId val="35162132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5922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NAVILE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'Q.Navile'!$A$3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'Q.Navile'!$B$2:$K$2</c:f>
              <c:numCache/>
            </c:numRef>
          </c:cat>
          <c:val>
            <c:numRef>
              <c:f>'Q.Navile'!$B$3:$K$3</c:f>
              <c:numCache/>
            </c:numRef>
          </c:val>
        </c:ser>
        <c:ser>
          <c:idx val="0"/>
          <c:order val="1"/>
          <c:tx>
            <c:strRef>
              <c:f>'Q.Navile'!$A$4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'Q.Navile'!$B$2:$K$2</c:f>
              <c:numCache/>
            </c:numRef>
          </c:cat>
          <c:val>
            <c:numRef>
              <c:f>'Q.Navile'!$B$4:$K$4</c:f>
              <c:numCache/>
            </c:numRef>
          </c:val>
        </c:ser>
        <c:overlap val="100"/>
        <c:axId val="48023733"/>
        <c:axId val="29560414"/>
      </c:bar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60414"/>
        <c:crosses val="autoZero"/>
        <c:auto val="0"/>
        <c:lblOffset val="100"/>
        <c:noMultiLvlLbl val="0"/>
      </c:catAx>
      <c:valAx>
        <c:axId val="2956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237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'Q.Navile'!$A$6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'Q.Navile'!$B$2:$K$2</c:f>
              <c:numCache/>
            </c:numRef>
          </c:cat>
          <c:val>
            <c:numRef>
              <c:f>'Q.Navile'!$B$6:$K$6</c:f>
              <c:numCache/>
            </c:numRef>
          </c:val>
          <c:smooth val="0"/>
        </c:ser>
        <c:ser>
          <c:idx val="1"/>
          <c:order val="1"/>
          <c:tx>
            <c:strRef>
              <c:f>'Q.Navile'!$A$7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'Q.Navile'!$B$2:$K$2</c:f>
              <c:numCache/>
            </c:numRef>
          </c:cat>
          <c:val>
            <c:numRef>
              <c:f>'Q.Navile'!$B$7:$K$7</c:f>
              <c:numCache/>
            </c:numRef>
          </c:val>
          <c:smooth val="0"/>
        </c:ser>
        <c:marker val="1"/>
        <c:axId val="64717135"/>
        <c:axId val="45583304"/>
      </c:line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83304"/>
        <c:crossesAt val="100"/>
        <c:auto val="1"/>
        <c:lblOffset val="100"/>
        <c:noMultiLvlLbl val="0"/>
      </c:catAx>
      <c:valAx>
        <c:axId val="45583304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1713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PORTO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'Q.Porto'!$A$3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'Q.Porto'!$B$2:$K$2</c:f>
              <c:numCache/>
            </c:numRef>
          </c:cat>
          <c:val>
            <c:numRef>
              <c:f>'Q.Porto'!$B$3:$K$3</c:f>
              <c:numCache/>
            </c:numRef>
          </c:val>
        </c:ser>
        <c:ser>
          <c:idx val="0"/>
          <c:order val="1"/>
          <c:tx>
            <c:strRef>
              <c:f>'Q.Porto'!$A$4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'Q.Porto'!$B$2:$K$2</c:f>
              <c:numCache/>
            </c:numRef>
          </c:cat>
          <c:val>
            <c:numRef>
              <c:f>'Q.Porto'!$B$4:$K$4</c:f>
              <c:numCache/>
            </c:numRef>
          </c:val>
        </c:ser>
        <c:overlap val="100"/>
        <c:axId val="7596553"/>
        <c:axId val="1260114"/>
      </c:bar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0114"/>
        <c:crosses val="autoZero"/>
        <c:auto val="0"/>
        <c:lblOffset val="100"/>
        <c:noMultiLvlLbl val="0"/>
      </c:catAx>
      <c:valAx>
        <c:axId val="126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965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 DEL CONSIGLIO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del Consiglio'!$A$3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del Consiglio'!$B$2:$K$2</c:f>
              <c:numCache/>
            </c:numRef>
          </c:cat>
          <c:val>
            <c:numRef>
              <c:f>'Staff del Consiglio'!$B$3:$K$3</c:f>
              <c:numCache/>
            </c:numRef>
          </c:val>
        </c:ser>
        <c:ser>
          <c:idx val="0"/>
          <c:order val="1"/>
          <c:tx>
            <c:strRef>
              <c:f>'Staff del Consiglio'!$A$4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del Consiglio'!$B$2:$K$2</c:f>
              <c:numCache/>
            </c:numRef>
          </c:cat>
          <c:val>
            <c:numRef>
              <c:f>'Staff del Consiglio'!$B$4:$K$4</c:f>
              <c:numCache/>
            </c:numRef>
          </c:val>
        </c:ser>
        <c:overlap val="100"/>
        <c:axId val="64901469"/>
        <c:axId val="47242310"/>
      </c:bar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auto val="0"/>
        <c:lblOffset val="100"/>
        <c:noMultiLvlLbl val="0"/>
      </c:catAx>
      <c:valAx>
        <c:axId val="47242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0146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'Q.Porto'!$A$6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'Q.Porto'!$B$2:$K$2</c:f>
              <c:numCache/>
            </c:numRef>
          </c:cat>
          <c:val>
            <c:numRef>
              <c:f>'Q.Porto'!$B$6:$K$6</c:f>
              <c:numCache/>
            </c:numRef>
          </c:val>
          <c:smooth val="0"/>
        </c:ser>
        <c:ser>
          <c:idx val="1"/>
          <c:order val="1"/>
          <c:tx>
            <c:strRef>
              <c:f>'Q.Porto'!$A$7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'Q.Porto'!$B$2:$K$2</c:f>
              <c:numCache/>
            </c:numRef>
          </c:cat>
          <c:val>
            <c:numRef>
              <c:f>'Q.Porto'!$B$7:$K$7</c:f>
              <c:numCache/>
            </c:numRef>
          </c:val>
          <c:smooth val="0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60380"/>
        <c:crossesAt val="100"/>
        <c:auto val="1"/>
        <c:lblOffset val="100"/>
        <c:noMultiLvlLbl val="0"/>
      </c:catAx>
      <c:valAx>
        <c:axId val="34960380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102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RENO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'Q.Reno'!$A$3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'Q.Reno'!$B$2:$K$2</c:f>
              <c:numCache/>
            </c:numRef>
          </c:cat>
          <c:val>
            <c:numRef>
              <c:f>'Q.Reno'!$B$3:$K$3</c:f>
              <c:numCache/>
            </c:numRef>
          </c:val>
        </c:ser>
        <c:ser>
          <c:idx val="0"/>
          <c:order val="1"/>
          <c:tx>
            <c:strRef>
              <c:f>'Q.Reno'!$A$4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'Q.Reno'!$B$2:$K$2</c:f>
              <c:numCache/>
            </c:numRef>
          </c:cat>
          <c:val>
            <c:numRef>
              <c:f>'Q.Reno'!$B$4:$K$4</c:f>
              <c:numCache/>
            </c:numRef>
          </c:val>
        </c:ser>
        <c:overlap val="100"/>
        <c:axId val="46207965"/>
        <c:axId val="13218502"/>
      </c:bar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18502"/>
        <c:crosses val="autoZero"/>
        <c:auto val="0"/>
        <c:lblOffset val="100"/>
        <c:noMultiLvlLbl val="0"/>
      </c:catAx>
      <c:valAx>
        <c:axId val="13218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079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'Q.Reno'!$A$6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'Q.Reno'!$B$2:$K$2</c:f>
              <c:numCache/>
            </c:numRef>
          </c:cat>
          <c:val>
            <c:numRef>
              <c:f>'Q.Reno'!$B$6:$K$6</c:f>
              <c:numCache/>
            </c:numRef>
          </c:val>
          <c:smooth val="0"/>
        </c:ser>
        <c:ser>
          <c:idx val="1"/>
          <c:order val="1"/>
          <c:tx>
            <c:strRef>
              <c:f>'Q.Reno'!$A$7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'Q.Reno'!$B$2:$K$2</c:f>
              <c:numCache/>
            </c:numRef>
          </c:cat>
          <c:val>
            <c:numRef>
              <c:f>'Q.Reno'!$B$7:$K$7</c:f>
              <c:numCache/>
            </c:numRef>
          </c:val>
          <c:smooth val="0"/>
        </c:ser>
        <c:marker val="1"/>
        <c:axId val="51857655"/>
        <c:axId val="64065712"/>
      </c:line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65712"/>
        <c:crossesAt val="100"/>
        <c:auto val="1"/>
        <c:lblOffset val="100"/>
        <c:noMultiLvlLbl val="0"/>
      </c:catAx>
      <c:valAx>
        <c:axId val="64065712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765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DONATO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'Q.SDonato'!$A$3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'Q.SDonato'!$B$2:$K$2</c:f>
              <c:numCache/>
            </c:numRef>
          </c:cat>
          <c:val>
            <c:numRef>
              <c:f>'Q.SDonato'!$B$3:$K$3</c:f>
              <c:numCache/>
            </c:numRef>
          </c:val>
        </c:ser>
        <c:ser>
          <c:idx val="0"/>
          <c:order val="1"/>
          <c:tx>
            <c:strRef>
              <c:f>'Q.SDonato'!$A$4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'Q.SDonato'!$B$2:$K$2</c:f>
              <c:numCache/>
            </c:numRef>
          </c:cat>
          <c:val>
            <c:numRef>
              <c:f>'Q.SDonato'!$B$4:$K$4</c:f>
              <c:numCache/>
            </c:numRef>
          </c:val>
        </c:ser>
        <c:overlap val="100"/>
        <c:axId val="39720497"/>
        <c:axId val="21940154"/>
      </c:bar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40154"/>
        <c:crosses val="autoZero"/>
        <c:auto val="0"/>
        <c:lblOffset val="100"/>
        <c:noMultiLvlLbl val="0"/>
      </c:catAx>
      <c:valAx>
        <c:axId val="21940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2049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'Q.SDonato'!$A$6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'Q.SDonato'!$B$2:$K$2</c:f>
              <c:numCache/>
            </c:numRef>
          </c:cat>
          <c:val>
            <c:numRef>
              <c:f>'Q.SDonato'!$B$6:$K$6</c:f>
              <c:numCache/>
            </c:numRef>
          </c:val>
          <c:smooth val="0"/>
        </c:ser>
        <c:ser>
          <c:idx val="1"/>
          <c:order val="1"/>
          <c:tx>
            <c:strRef>
              <c:f>'Q.SDonato'!$A$7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'Q.SDonato'!$B$2:$K$2</c:f>
              <c:numCache/>
            </c:numRef>
          </c:cat>
          <c:val>
            <c:numRef>
              <c:f>'Q.SDonato'!$B$7:$K$7</c:f>
              <c:numCache/>
            </c:numRef>
          </c:val>
          <c:smooth val="0"/>
        </c:ser>
        <c:marker val="1"/>
        <c:axId val="63243659"/>
        <c:axId val="32322020"/>
      </c:line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22020"/>
        <c:crossesAt val="100"/>
        <c:auto val="1"/>
        <c:lblOffset val="100"/>
        <c:noMultiLvlLbl val="0"/>
      </c:catAx>
      <c:valAx>
        <c:axId val="32322020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4365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SANTO STEFANO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'Q.SStefano'!$A$3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'Q.SStefano'!$B$2:$K$2</c:f>
              <c:numCache/>
            </c:numRef>
          </c:cat>
          <c:val>
            <c:numRef>
              <c:f>'Q.SStefano'!$B$3:$K$3</c:f>
              <c:numCache/>
            </c:numRef>
          </c:val>
        </c:ser>
        <c:ser>
          <c:idx val="0"/>
          <c:order val="1"/>
          <c:tx>
            <c:strRef>
              <c:f>'Q.SStefano'!$A$4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'Q.SStefano'!$B$2:$K$2</c:f>
              <c:numCache/>
            </c:numRef>
          </c:cat>
          <c:val>
            <c:numRef>
              <c:f>'Q.SStefano'!$B$4:$K$4</c:f>
              <c:numCache/>
            </c:numRef>
          </c:val>
        </c:ser>
        <c:overlap val="100"/>
        <c:axId val="22462725"/>
        <c:axId val="837934"/>
      </c:bar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 val="autoZero"/>
        <c:auto val="0"/>
        <c:lblOffset val="100"/>
        <c:noMultiLvlLbl val="0"/>
      </c:catAx>
      <c:valAx>
        <c:axId val="837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6272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'Q.SStefano'!$A$6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'Q.SStefano'!$B$2:$K$2</c:f>
              <c:numCache/>
            </c:numRef>
          </c:cat>
          <c:val>
            <c:numRef>
              <c:f>'Q.SStefano'!$B$6:$K$6</c:f>
              <c:numCache/>
            </c:numRef>
          </c:val>
          <c:smooth val="0"/>
        </c:ser>
        <c:ser>
          <c:idx val="1"/>
          <c:order val="1"/>
          <c:tx>
            <c:strRef>
              <c:f>'Q.SStefano'!$A$7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'Q.SStefano'!$B$2:$K$2</c:f>
              <c:numCache/>
            </c:numRef>
          </c:cat>
          <c:val>
            <c:numRef>
              <c:f>'Q.SStefano'!$B$7:$K$7</c:f>
              <c:numCache/>
            </c:numRef>
          </c:val>
          <c:smooth val="0"/>
        </c:ser>
        <c:marker val="1"/>
        <c:axId val="7541407"/>
        <c:axId val="763800"/>
      </c:line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At val="100"/>
        <c:auto val="1"/>
        <c:lblOffset val="100"/>
        <c:noMultiLvlLbl val="0"/>
      </c:catAx>
      <c:valAx>
        <c:axId val="763800"/>
        <c:scaling>
          <c:orientation val="minMax"/>
          <c:max val="125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4140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VITALE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'Q.SVitale'!$A$3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'Q.SVitale'!$B$2:$K$2</c:f>
              <c:numCache/>
            </c:numRef>
          </c:cat>
          <c:val>
            <c:numRef>
              <c:f>'Q.SVitale'!$B$3:$K$3</c:f>
              <c:numCache/>
            </c:numRef>
          </c:val>
        </c:ser>
        <c:ser>
          <c:idx val="0"/>
          <c:order val="1"/>
          <c:tx>
            <c:strRef>
              <c:f>'Q.SVitale'!$A$4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'Q.SVitale'!$B$2:$K$2</c:f>
              <c:numCache/>
            </c:numRef>
          </c:cat>
          <c:val>
            <c:numRef>
              <c:f>'Q.SVitale'!$B$4:$K$4</c:f>
              <c:numCache/>
            </c:numRef>
          </c:val>
        </c:ser>
        <c:overlap val="100"/>
        <c:axId val="6874201"/>
        <c:axId val="61867810"/>
      </c:bar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auto val="0"/>
        <c:lblOffset val="100"/>
        <c:noMultiLvlLbl val="0"/>
      </c:catAx>
      <c:valAx>
        <c:axId val="61867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742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'Q.SVitale'!$A$6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'Q.SVitale'!$B$2:$K$2</c:f>
              <c:numCache/>
            </c:numRef>
          </c:cat>
          <c:val>
            <c:numRef>
              <c:f>'Q.SVitale'!$B$6:$K$6</c:f>
              <c:numCache/>
            </c:numRef>
          </c:val>
          <c:smooth val="0"/>
        </c:ser>
        <c:ser>
          <c:idx val="1"/>
          <c:order val="1"/>
          <c:tx>
            <c:strRef>
              <c:f>'Q.SVitale'!$A$7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'Q.SVitale'!$B$2:$K$2</c:f>
              <c:numCache/>
            </c:numRef>
          </c:cat>
          <c:val>
            <c:numRef>
              <c:f>'Q.SVitale'!$B$7:$K$7</c:f>
              <c:numCache/>
            </c:numRef>
          </c:val>
          <c:smooth val="0"/>
        </c:ser>
        <c:marker val="1"/>
        <c:axId val="19939379"/>
        <c:axId val="45236684"/>
      </c:line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36684"/>
        <c:crossesAt val="100"/>
        <c:auto val="1"/>
        <c:lblOffset val="100"/>
        <c:noMultiLvlLbl val="0"/>
      </c:catAx>
      <c:valAx>
        <c:axId val="45236684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3937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SARAGOZZA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'Q.Saragozza'!$A$3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'Q.Saragozza'!$B$2:$K$2</c:f>
              <c:numCache/>
            </c:numRef>
          </c:cat>
          <c:val>
            <c:numRef>
              <c:f>'Q.Saragozza'!$B$3:$K$3</c:f>
              <c:numCache/>
            </c:numRef>
          </c:val>
        </c:ser>
        <c:ser>
          <c:idx val="0"/>
          <c:order val="1"/>
          <c:tx>
            <c:strRef>
              <c:f>'Q.Saragozza'!$A$4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'Q.Saragozza'!$B$2:$K$2</c:f>
              <c:numCache/>
            </c:numRef>
          </c:cat>
          <c:val>
            <c:numRef>
              <c:f>'Q.Saragozza'!$B$4:$K$4</c:f>
              <c:numCache/>
            </c:numRef>
          </c:val>
        </c:ser>
        <c:overlap val="100"/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92758"/>
        <c:crosses val="autoZero"/>
        <c:auto val="0"/>
        <c:lblOffset val="100"/>
        <c:noMultiLvlLbl val="0"/>
      </c:catAx>
      <c:valAx>
        <c:axId val="40292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69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'Staff del Consiglio'!$A$6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del Consiglio'!$B$2:$K$2</c:f>
              <c:numCache/>
            </c:numRef>
          </c:cat>
          <c:val>
            <c:numRef>
              <c:f>'Staff del Consiglio'!$B$6:$K$6</c:f>
              <c:numCache/>
            </c:numRef>
          </c:val>
          <c:smooth val="0"/>
        </c:ser>
        <c:ser>
          <c:idx val="1"/>
          <c:order val="1"/>
          <c:tx>
            <c:strRef>
              <c:f>'Staff del Consiglio'!$A$7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del Consiglio'!$B$2:$K$2</c:f>
              <c:numCache/>
            </c:numRef>
          </c:cat>
          <c:val>
            <c:numRef>
              <c:f>'Staff del Consiglio'!$B$7:$K$7</c:f>
              <c:numCache/>
            </c:numRef>
          </c:val>
          <c:smooth val="0"/>
        </c:ser>
        <c:marker val="1"/>
        <c:axId val="22527607"/>
        <c:axId val="1421872"/>
      </c:line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1872"/>
        <c:crossesAt val="70"/>
        <c:auto val="1"/>
        <c:lblOffset val="100"/>
        <c:noMultiLvlLbl val="0"/>
      </c:catAx>
      <c:valAx>
        <c:axId val="1421872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27607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'Q.Saragozza'!$A$6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'Q.Saragozza'!$B$2:$K$2</c:f>
              <c:numCache/>
            </c:numRef>
          </c:cat>
          <c:val>
            <c:numRef>
              <c:f>'Q.Saragozza'!$B$6:$K$6</c:f>
              <c:numCache/>
            </c:numRef>
          </c:val>
          <c:smooth val="0"/>
        </c:ser>
        <c:ser>
          <c:idx val="1"/>
          <c:order val="1"/>
          <c:tx>
            <c:strRef>
              <c:f>'Q.Saragozza'!$A$7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'Q.Saragozza'!$B$2:$K$2</c:f>
              <c:numCache/>
            </c:numRef>
          </c:cat>
          <c:val>
            <c:numRef>
              <c:f>'Q.Saragozza'!$B$7:$K$7</c:f>
              <c:numCache/>
            </c:numRef>
          </c:val>
          <c:smooth val="0"/>
        </c:ser>
        <c:marker val="1"/>
        <c:axId val="27090503"/>
        <c:axId val="42487936"/>
      </c:line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87936"/>
        <c:crossesAt val="100"/>
        <c:auto val="1"/>
        <c:lblOffset val="100"/>
        <c:noMultiLvlLbl val="0"/>
      </c:catAx>
      <c:valAx>
        <c:axId val="42487936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050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SAVENA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'Q.Savena'!$A$3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'Q.Savena'!$B$2:$K$2</c:f>
              <c:numCache/>
            </c:numRef>
          </c:cat>
          <c:val>
            <c:numRef>
              <c:f>'Q.Savena'!$B$3:$K$3</c:f>
              <c:numCache/>
            </c:numRef>
          </c:val>
        </c:ser>
        <c:ser>
          <c:idx val="0"/>
          <c:order val="1"/>
          <c:tx>
            <c:strRef>
              <c:f>'Q.Savena'!$A$4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'Q.Savena'!$B$2:$K$2</c:f>
              <c:numCache/>
            </c:numRef>
          </c:cat>
          <c:val>
            <c:numRef>
              <c:f>'Q.Savena'!$B$4:$K$4</c:f>
              <c:numCache/>
            </c:numRef>
          </c:val>
        </c:ser>
        <c:overlap val="100"/>
        <c:axId val="46847105"/>
        <c:axId val="18970762"/>
      </c:bar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70762"/>
        <c:crosses val="autoZero"/>
        <c:auto val="0"/>
        <c:lblOffset val="100"/>
        <c:noMultiLvlLbl val="0"/>
      </c:catAx>
      <c:valAx>
        <c:axId val="1897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8471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'Q.Savena'!$A$6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'Q.Savena'!$B$2:$K$2</c:f>
              <c:numCache/>
            </c:numRef>
          </c:cat>
          <c:val>
            <c:numRef>
              <c:f>'Q.Savena'!$B$6:$K$6</c:f>
              <c:numCache/>
            </c:numRef>
          </c:val>
          <c:smooth val="0"/>
        </c:ser>
        <c:ser>
          <c:idx val="1"/>
          <c:order val="1"/>
          <c:tx>
            <c:strRef>
              <c:f>'Q.Savena'!$A$7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'Q.Savena'!$B$2:$K$2</c:f>
              <c:numCache/>
            </c:numRef>
          </c:cat>
          <c:val>
            <c:numRef>
              <c:f>'Q.Savena'!$B$7:$K$7</c:f>
              <c:numCache/>
            </c:numRef>
          </c:val>
          <c:smooth val="0"/>
        </c:ser>
        <c:marker val="1"/>
        <c:axId val="36519131"/>
        <c:axId val="60236724"/>
      </c:line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36724"/>
        <c:crossesAt val="100"/>
        <c:auto val="1"/>
        <c:lblOffset val="100"/>
        <c:noMultiLvlLbl val="0"/>
      </c:catAx>
      <c:valAx>
        <c:axId val="60236724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1913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CONSUMI SPECIFICI</a:t>
            </a:r>
          </a:p>
        </c:rich>
      </c:tx>
      <c:layout>
        <c:manualLayout>
          <c:xMode val="factor"/>
          <c:yMode val="factor"/>
          <c:x val="0.00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"/>
          <c:w val="0.96875"/>
          <c:h val="0.82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'TOTALE CS'!$A$3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CS'!$B$2:$K$2</c:f>
              <c:numCache/>
            </c:numRef>
          </c:cat>
          <c:val>
            <c:numRef>
              <c:f>'TOTALE CS'!$B$3:$K$3</c:f>
              <c:numCache/>
            </c:numRef>
          </c:val>
        </c:ser>
        <c:ser>
          <c:idx val="0"/>
          <c:order val="1"/>
          <c:tx>
            <c:strRef>
              <c:f>'TOTALE CS'!$A$4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CS'!$B$2:$K$2</c:f>
              <c:numCache/>
            </c:numRef>
          </c:cat>
          <c:val>
            <c:numRef>
              <c:f>'TOTALE CS'!$B$4:$K$4</c:f>
              <c:numCache/>
            </c:numRef>
          </c:val>
        </c:ser>
        <c:overlap val="100"/>
        <c:axId val="5259605"/>
        <c:axId val="47336446"/>
      </c:bar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36446"/>
        <c:crosses val="autoZero"/>
        <c:auto val="0"/>
        <c:lblOffset val="100"/>
        <c:noMultiLvlLbl val="0"/>
      </c:catAx>
      <c:valAx>
        <c:axId val="47336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96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9025"/>
          <c:y val="0.9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"/>
          <c:w val="0.953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'TOTALE CS'!$A$6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CS'!$B$2:$K$2</c:f>
              <c:numCache/>
            </c:numRef>
          </c:cat>
          <c:val>
            <c:numRef>
              <c:f>'TOTALE CS'!$B$6:$K$6</c:f>
              <c:numCache/>
            </c:numRef>
          </c:val>
          <c:smooth val="0"/>
        </c:ser>
        <c:ser>
          <c:idx val="1"/>
          <c:order val="1"/>
          <c:tx>
            <c:strRef>
              <c:f>'TOTALE CS'!$A$7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CS'!$B$2:$K$2</c:f>
              <c:numCache/>
            </c:numRef>
          </c:cat>
          <c:val>
            <c:numRef>
              <c:f>'TOTALE CS'!$B$7:$K$7</c:f>
              <c:numCache/>
            </c:numRef>
          </c:val>
          <c:smooth val="0"/>
        </c:ser>
        <c:marker val="1"/>
        <c:axId val="23374831"/>
        <c:axId val="9046888"/>
      </c:line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46888"/>
        <c:crossesAt val="100"/>
        <c:auto val="1"/>
        <c:lblOffset val="100"/>
        <c:noMultiLvlLbl val="0"/>
      </c:catAx>
      <c:valAx>
        <c:axId val="9046888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7483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PARTECIPAZIONI SOCIETARIE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'Partecipazione soc'!$A$3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'Partecipazione soc'!$B$2:$K$2</c:f>
              <c:numCache/>
            </c:numRef>
          </c:cat>
          <c:val>
            <c:numRef>
              <c:f>'Partecipazione soc'!$B$3:$K$3</c:f>
              <c:numCache/>
            </c:numRef>
          </c:val>
        </c:ser>
        <c:ser>
          <c:idx val="0"/>
          <c:order val="1"/>
          <c:tx>
            <c:strRef>
              <c:f>'Partecipazione soc'!$A$4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'Partecipazione soc'!$B$2:$K$2</c:f>
              <c:numCache/>
            </c:numRef>
          </c:cat>
          <c:val>
            <c:numRef>
              <c:f>'Partecipazione soc'!$B$4:$K$4</c:f>
              <c:numCache/>
            </c:numRef>
          </c:val>
        </c:ser>
        <c:overlap val="100"/>
        <c:axId val="12796849"/>
        <c:axId val="48062778"/>
      </c:bar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62778"/>
        <c:crosses val="autoZero"/>
        <c:auto val="0"/>
        <c:lblOffset val="100"/>
        <c:noMultiLvlLbl val="0"/>
      </c:catAx>
      <c:valAx>
        <c:axId val="48062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9684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81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448175" y="1447800"/>
        <a:ext cx="42767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10075" y="1314450"/>
        <a:ext cx="3962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10075" y="1314450"/>
        <a:ext cx="3962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467225" y="1447800"/>
        <a:ext cx="4076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314450"/>
        <a:ext cx="42291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476250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95250" y="1323975"/>
        <a:ext cx="4943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8</xdr:row>
      <xdr:rowOff>28575</xdr:rowOff>
    </xdr:from>
    <xdr:to>
      <xdr:col>13</xdr:col>
      <xdr:colOff>600075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105400" y="1352550"/>
        <a:ext cx="41814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6</xdr:row>
      <xdr:rowOff>0</xdr:rowOff>
    </xdr:from>
    <xdr:to>
      <xdr:col>8</xdr:col>
      <xdr:colOff>142875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19150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0</xdr:rowOff>
    </xdr:from>
    <xdr:to>
      <xdr:col>8</xdr:col>
      <xdr:colOff>114300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0575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6"/>
  <sheetViews>
    <sheetView workbookViewId="0" topLeftCell="A1">
      <pane ySplit="8" topLeftCell="BM224" activePane="bottomLeft" state="frozen"/>
      <selection pane="topLeft" activeCell="A1" sqref="A1"/>
      <selection pane="bottomLeft" activeCell="A177" sqref="A177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5.8515625" style="3" customWidth="1"/>
    <col min="4" max="4" width="11.00390625" style="59" customWidth="1"/>
    <col min="5" max="5" width="10.8515625" style="59" customWidth="1"/>
    <col min="6" max="6" width="11.00390625" style="59" customWidth="1"/>
    <col min="7" max="7" width="10.8515625" style="59" customWidth="1"/>
    <col min="8" max="8" width="11.00390625" style="59" customWidth="1"/>
    <col min="9" max="9" width="10.8515625" style="59" customWidth="1"/>
    <col min="10" max="10" width="11.00390625" style="59" customWidth="1"/>
    <col min="11" max="11" width="10.8515625" style="59" customWidth="1"/>
    <col min="12" max="12" width="11.00390625" style="76" customWidth="1"/>
    <col min="13" max="13" width="10.8515625" style="29" customWidth="1"/>
    <col min="14" max="14" width="11.00390625" style="59" customWidth="1"/>
    <col min="15" max="15" width="10.8515625" style="76" customWidth="1"/>
    <col min="16" max="16" width="11.00390625" style="59" customWidth="1"/>
    <col min="17" max="17" width="10.8515625" style="76" customWidth="1"/>
    <col min="18" max="18" width="11.00390625" style="59" customWidth="1"/>
    <col min="19" max="19" width="10.8515625" style="76" customWidth="1"/>
    <col min="20" max="20" width="11.00390625" style="29" bestFit="1" customWidth="1"/>
    <col min="21" max="21" width="10.8515625" style="29" bestFit="1" customWidth="1"/>
    <col min="22" max="22" width="11.00390625" style="29" customWidth="1"/>
    <col min="23" max="23" width="10.8515625" style="29" customWidth="1"/>
    <col min="24" max="35" width="9.140625" style="29" customWidth="1"/>
  </cols>
  <sheetData>
    <row r="1" spans="1:35" s="2" customFormat="1" ht="20.25">
      <c r="A1" s="46" t="s">
        <v>171</v>
      </c>
      <c r="B1" s="3"/>
      <c r="C1" s="3"/>
      <c r="D1" s="59"/>
      <c r="E1" s="59"/>
      <c r="F1" s="59"/>
      <c r="G1" s="59"/>
      <c r="H1" s="59"/>
      <c r="I1" s="59"/>
      <c r="J1" s="59"/>
      <c r="K1" s="59"/>
      <c r="L1" s="76"/>
      <c r="M1" s="29"/>
      <c r="N1" s="59"/>
      <c r="O1" s="76"/>
      <c r="P1" s="59"/>
      <c r="Q1" s="76"/>
      <c r="R1" s="59"/>
      <c r="S1" s="76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s="2" customFormat="1" ht="8.25" customHeight="1">
      <c r="A2" s="3"/>
      <c r="B2" s="3"/>
      <c r="C2" s="3"/>
      <c r="D2" s="59"/>
      <c r="E2" s="59"/>
      <c r="F2" s="81"/>
      <c r="G2" s="82"/>
      <c r="H2" s="81"/>
      <c r="I2" s="81"/>
      <c r="J2" s="81"/>
      <c r="K2" s="59"/>
      <c r="L2" s="76"/>
      <c r="M2" s="29"/>
      <c r="N2" s="59"/>
      <c r="O2" s="76"/>
      <c r="P2" s="59"/>
      <c r="Q2" s="76"/>
      <c r="R2" s="59"/>
      <c r="S2" s="76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s="2" customFormat="1" ht="21.75" hidden="1">
      <c r="A3" s="5"/>
      <c r="B3" s="5"/>
      <c r="C3" s="5"/>
      <c r="D3" s="59"/>
      <c r="E3" s="59"/>
      <c r="F3" s="81"/>
      <c r="G3" s="82"/>
      <c r="H3" s="83"/>
      <c r="I3" s="83"/>
      <c r="J3" s="83"/>
      <c r="K3" s="84"/>
      <c r="L3" s="85"/>
      <c r="M3" s="29"/>
      <c r="N3" s="60"/>
      <c r="O3" s="76"/>
      <c r="P3" s="60"/>
      <c r="Q3" s="76"/>
      <c r="R3" s="60"/>
      <c r="S3" s="76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spans="1:35" s="2" customFormat="1" ht="6.75" customHeight="1">
      <c r="A4" s="5"/>
      <c r="B4" s="5"/>
      <c r="C4" s="5"/>
      <c r="D4" s="59"/>
      <c r="E4" s="59"/>
      <c r="F4" s="59"/>
      <c r="G4" s="59"/>
      <c r="H4" s="59"/>
      <c r="I4" s="59"/>
      <c r="J4" s="59"/>
      <c r="K4" s="59"/>
      <c r="L4" s="76"/>
      <c r="M4" s="29"/>
      <c r="N4" s="59"/>
      <c r="O4" s="76"/>
      <c r="P4" s="59"/>
      <c r="Q4" s="76"/>
      <c r="R4" s="59"/>
      <c r="S4" s="76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5" s="2" customFormat="1" ht="12.75">
      <c r="A5" s="48" t="s">
        <v>111</v>
      </c>
      <c r="B5" s="48"/>
      <c r="C5" s="7"/>
      <c r="D5" s="59"/>
      <c r="E5" s="59"/>
      <c r="F5" s="59"/>
      <c r="G5" s="59"/>
      <c r="H5" s="59"/>
      <c r="I5" s="59"/>
      <c r="J5" s="59"/>
      <c r="K5" s="59"/>
      <c r="L5" s="76"/>
      <c r="M5" s="29"/>
      <c r="N5" s="59"/>
      <c r="O5" s="76"/>
      <c r="P5" s="59"/>
      <c r="Q5" s="76"/>
      <c r="R5" s="59"/>
      <c r="S5" s="76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6" spans="1:35" s="2" customFormat="1" ht="12.75">
      <c r="A6" s="8"/>
      <c r="B6" s="12"/>
      <c r="C6" s="8"/>
      <c r="D6" s="109">
        <v>1999</v>
      </c>
      <c r="E6" s="110"/>
      <c r="F6" s="109">
        <v>2000</v>
      </c>
      <c r="G6" s="110"/>
      <c r="H6" s="109">
        <v>2001</v>
      </c>
      <c r="I6" s="111"/>
      <c r="J6" s="109">
        <v>2002</v>
      </c>
      <c r="K6" s="111"/>
      <c r="L6" s="109">
        <v>2003</v>
      </c>
      <c r="M6" s="111"/>
      <c r="N6" s="109">
        <v>2004</v>
      </c>
      <c r="O6" s="111"/>
      <c r="P6" s="109">
        <v>2005</v>
      </c>
      <c r="Q6" s="111"/>
      <c r="R6" s="109">
        <v>2006</v>
      </c>
      <c r="S6" s="111"/>
      <c r="T6" s="109">
        <v>2007</v>
      </c>
      <c r="U6" s="111"/>
      <c r="V6" s="109">
        <v>2008</v>
      </c>
      <c r="W6" s="111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5" s="2" customFormat="1" ht="12.75">
      <c r="A7" s="8"/>
      <c r="B7" s="8"/>
      <c r="C7" s="8"/>
      <c r="D7" s="86" t="s">
        <v>51</v>
      </c>
      <c r="E7" s="87"/>
      <c r="F7" s="86" t="s">
        <v>51</v>
      </c>
      <c r="G7" s="87"/>
      <c r="H7" s="86" t="s">
        <v>51</v>
      </c>
      <c r="I7" s="87"/>
      <c r="J7" s="86" t="s">
        <v>51</v>
      </c>
      <c r="K7" s="87"/>
      <c r="L7" s="86" t="s">
        <v>51</v>
      </c>
      <c r="M7" s="87"/>
      <c r="N7" s="86" t="s">
        <v>51</v>
      </c>
      <c r="O7" s="87"/>
      <c r="P7" s="86" t="s">
        <v>51</v>
      </c>
      <c r="Q7" s="87"/>
      <c r="R7" s="86" t="s">
        <v>51</v>
      </c>
      <c r="S7" s="87"/>
      <c r="T7" s="86" t="s">
        <v>51</v>
      </c>
      <c r="U7" s="87"/>
      <c r="V7" s="86" t="s">
        <v>51</v>
      </c>
      <c r="W7" s="87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s="2" customFormat="1" ht="12.75">
      <c r="A8" s="8"/>
      <c r="B8" s="8"/>
      <c r="C8" s="8"/>
      <c r="D8" s="61" t="s">
        <v>47</v>
      </c>
      <c r="E8" s="61" t="s">
        <v>110</v>
      </c>
      <c r="F8" s="61" t="s">
        <v>47</v>
      </c>
      <c r="G8" s="61" t="s">
        <v>110</v>
      </c>
      <c r="H8" s="61" t="s">
        <v>47</v>
      </c>
      <c r="I8" s="61" t="s">
        <v>110</v>
      </c>
      <c r="J8" s="86" t="s">
        <v>47</v>
      </c>
      <c r="K8" s="87" t="s">
        <v>110</v>
      </c>
      <c r="L8" s="61" t="s">
        <v>47</v>
      </c>
      <c r="M8" s="61" t="s">
        <v>110</v>
      </c>
      <c r="N8" s="61" t="s">
        <v>47</v>
      </c>
      <c r="O8" s="61" t="s">
        <v>110</v>
      </c>
      <c r="P8" s="61" t="s">
        <v>47</v>
      </c>
      <c r="Q8" s="61" t="s">
        <v>110</v>
      </c>
      <c r="R8" s="61" t="s">
        <v>47</v>
      </c>
      <c r="S8" s="61" t="s">
        <v>110</v>
      </c>
      <c r="T8" s="61" t="s">
        <v>47</v>
      </c>
      <c r="U8" s="61" t="s">
        <v>110</v>
      </c>
      <c r="V8" s="61" t="s">
        <v>47</v>
      </c>
      <c r="W8" s="61" t="s">
        <v>110</v>
      </c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1:35" s="24" customFormat="1" ht="12.75">
      <c r="A9" s="149" t="s">
        <v>0</v>
      </c>
      <c r="B9" s="118"/>
      <c r="C9" s="118"/>
      <c r="D9" s="148">
        <f aca="true" t="shared" si="0" ref="D9:W9">+D10</f>
        <v>2</v>
      </c>
      <c r="E9" s="148">
        <f t="shared" si="0"/>
        <v>0</v>
      </c>
      <c r="F9" s="148">
        <f t="shared" si="0"/>
        <v>5</v>
      </c>
      <c r="G9" s="148">
        <f t="shared" si="0"/>
        <v>0</v>
      </c>
      <c r="H9" s="148">
        <f t="shared" si="0"/>
        <v>56</v>
      </c>
      <c r="I9" s="148">
        <f t="shared" si="0"/>
        <v>0</v>
      </c>
      <c r="J9" s="148">
        <f t="shared" si="0"/>
        <v>168</v>
      </c>
      <c r="K9" s="148">
        <f t="shared" si="0"/>
        <v>0</v>
      </c>
      <c r="L9" s="148">
        <f t="shared" si="0"/>
        <v>199</v>
      </c>
      <c r="M9" s="148">
        <f t="shared" si="0"/>
        <v>0</v>
      </c>
      <c r="N9" s="148">
        <f t="shared" si="0"/>
        <v>86</v>
      </c>
      <c r="O9" s="148">
        <f t="shared" si="0"/>
        <v>0</v>
      </c>
      <c r="P9" s="148">
        <f t="shared" si="0"/>
        <v>57</v>
      </c>
      <c r="Q9" s="148">
        <f t="shared" si="0"/>
        <v>0</v>
      </c>
      <c r="R9" s="148">
        <f t="shared" si="0"/>
        <v>208</v>
      </c>
      <c r="S9" s="148">
        <f t="shared" si="0"/>
        <v>0</v>
      </c>
      <c r="T9" s="148">
        <f t="shared" si="0"/>
        <v>440</v>
      </c>
      <c r="U9" s="148">
        <f t="shared" si="0"/>
        <v>0</v>
      </c>
      <c r="V9" s="148">
        <f t="shared" si="0"/>
        <v>344</v>
      </c>
      <c r="W9" s="148">
        <f t="shared" si="0"/>
        <v>0</v>
      </c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5" s="2" customFormat="1" ht="12.75">
      <c r="A10" s="116" t="s">
        <v>0</v>
      </c>
      <c r="B10" s="117"/>
      <c r="C10" s="117"/>
      <c r="D10" s="66">
        <f aca="true" t="shared" si="1" ref="D10:W10">SUM(D11:D11)</f>
        <v>2</v>
      </c>
      <c r="E10" s="66">
        <f t="shared" si="1"/>
        <v>0</v>
      </c>
      <c r="F10" s="66">
        <f t="shared" si="1"/>
        <v>5</v>
      </c>
      <c r="G10" s="66">
        <f t="shared" si="1"/>
        <v>0</v>
      </c>
      <c r="H10" s="66">
        <f t="shared" si="1"/>
        <v>56</v>
      </c>
      <c r="I10" s="66">
        <f t="shared" si="1"/>
        <v>0</v>
      </c>
      <c r="J10" s="66">
        <f t="shared" si="1"/>
        <v>168</v>
      </c>
      <c r="K10" s="66">
        <f t="shared" si="1"/>
        <v>0</v>
      </c>
      <c r="L10" s="66">
        <f t="shared" si="1"/>
        <v>199</v>
      </c>
      <c r="M10" s="66">
        <f t="shared" si="1"/>
        <v>0</v>
      </c>
      <c r="N10" s="66">
        <f t="shared" si="1"/>
        <v>86</v>
      </c>
      <c r="O10" s="66">
        <f t="shared" si="1"/>
        <v>0</v>
      </c>
      <c r="P10" s="66">
        <f t="shared" si="1"/>
        <v>57</v>
      </c>
      <c r="Q10" s="66">
        <f t="shared" si="1"/>
        <v>0</v>
      </c>
      <c r="R10" s="66">
        <f t="shared" si="1"/>
        <v>208</v>
      </c>
      <c r="S10" s="66">
        <f t="shared" si="1"/>
        <v>0</v>
      </c>
      <c r="T10" s="66">
        <f t="shared" si="1"/>
        <v>440</v>
      </c>
      <c r="U10" s="66">
        <f t="shared" si="1"/>
        <v>0</v>
      </c>
      <c r="V10" s="66">
        <f t="shared" si="1"/>
        <v>344</v>
      </c>
      <c r="W10" s="66">
        <f t="shared" si="1"/>
        <v>0</v>
      </c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</row>
    <row r="11" spans="1:35" s="2" customFormat="1" ht="12.75">
      <c r="A11" s="9"/>
      <c r="B11" s="6" t="s">
        <v>168</v>
      </c>
      <c r="C11" s="20"/>
      <c r="D11" s="52">
        <v>2</v>
      </c>
      <c r="E11" s="50"/>
      <c r="F11" s="52">
        <f>ROUND((10/1936.27)*1000,0)</f>
        <v>5</v>
      </c>
      <c r="G11" s="50"/>
      <c r="H11" s="52">
        <v>56</v>
      </c>
      <c r="I11" s="50"/>
      <c r="J11" s="52">
        <f>80+88</f>
        <v>168</v>
      </c>
      <c r="K11" s="50"/>
      <c r="L11" s="52">
        <f>44+155</f>
        <v>199</v>
      </c>
      <c r="M11" s="50"/>
      <c r="N11" s="52">
        <f>31+55</f>
        <v>86</v>
      </c>
      <c r="O11" s="50"/>
      <c r="P11" s="52">
        <v>57</v>
      </c>
      <c r="Q11" s="50"/>
      <c r="R11" s="52">
        <v>208</v>
      </c>
      <c r="S11" s="50"/>
      <c r="T11" s="52">
        <v>440</v>
      </c>
      <c r="U11" s="50"/>
      <c r="V11" s="52">
        <v>344</v>
      </c>
      <c r="W11" s="50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s="2" customFormat="1" ht="12.75">
      <c r="A12" s="153" t="s">
        <v>143</v>
      </c>
      <c r="B12" s="118"/>
      <c r="C12" s="118"/>
      <c r="D12" s="148">
        <f aca="true" t="shared" si="2" ref="D12:S12">+D13+D19+D20+D21</f>
        <v>4016</v>
      </c>
      <c r="E12" s="148">
        <f t="shared" si="2"/>
        <v>1708</v>
      </c>
      <c r="F12" s="148">
        <f t="shared" si="2"/>
        <v>4325</v>
      </c>
      <c r="G12" s="148">
        <f t="shared" si="2"/>
        <v>2047</v>
      </c>
      <c r="H12" s="148">
        <f t="shared" si="2"/>
        <v>5251</v>
      </c>
      <c r="I12" s="148">
        <f t="shared" si="2"/>
        <v>1561</v>
      </c>
      <c r="J12" s="148">
        <f t="shared" si="2"/>
        <v>5371</v>
      </c>
      <c r="K12" s="148">
        <f t="shared" si="2"/>
        <v>1581</v>
      </c>
      <c r="L12" s="148">
        <f t="shared" si="2"/>
        <v>4553</v>
      </c>
      <c r="M12" s="148">
        <f t="shared" si="2"/>
        <v>1149</v>
      </c>
      <c r="N12" s="148">
        <f t="shared" si="2"/>
        <v>5012</v>
      </c>
      <c r="O12" s="148">
        <f t="shared" si="2"/>
        <v>1829</v>
      </c>
      <c r="P12" s="148">
        <f t="shared" si="2"/>
        <v>6604</v>
      </c>
      <c r="Q12" s="148">
        <f t="shared" si="2"/>
        <v>3761</v>
      </c>
      <c r="R12" s="148">
        <f t="shared" si="2"/>
        <v>1956</v>
      </c>
      <c r="S12" s="148">
        <f t="shared" si="2"/>
        <v>252</v>
      </c>
      <c r="T12" s="148">
        <f>+T13+T19+T20+T21</f>
        <v>2095</v>
      </c>
      <c r="U12" s="148">
        <f>+U13+U19+U20+U21</f>
        <v>115</v>
      </c>
      <c r="V12" s="148">
        <f>+V13+V19+V20+V21</f>
        <v>2227</v>
      </c>
      <c r="W12" s="148">
        <f>+W13+W19+W20+W21</f>
        <v>298</v>
      </c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5" s="2" customFormat="1" ht="12.75">
      <c r="A13" s="147" t="s">
        <v>142</v>
      </c>
      <c r="B13" s="117"/>
      <c r="C13" s="117"/>
      <c r="D13" s="66">
        <f aca="true" t="shared" si="3" ref="D13:S13">SUM(D14:D18)</f>
        <v>3443</v>
      </c>
      <c r="E13" s="66">
        <f t="shared" si="3"/>
        <v>1708</v>
      </c>
      <c r="F13" s="66">
        <f t="shared" si="3"/>
        <v>3564</v>
      </c>
      <c r="G13" s="66">
        <f t="shared" si="3"/>
        <v>2047</v>
      </c>
      <c r="H13" s="66">
        <f t="shared" si="3"/>
        <v>3911</v>
      </c>
      <c r="I13" s="66">
        <f t="shared" si="3"/>
        <v>1561</v>
      </c>
      <c r="J13" s="66">
        <f t="shared" si="3"/>
        <v>4223</v>
      </c>
      <c r="K13" s="66">
        <f t="shared" si="3"/>
        <v>1581</v>
      </c>
      <c r="L13" s="66">
        <f t="shared" si="3"/>
        <v>3316</v>
      </c>
      <c r="M13" s="66">
        <f t="shared" si="3"/>
        <v>1149</v>
      </c>
      <c r="N13" s="66">
        <f t="shared" si="3"/>
        <v>3650</v>
      </c>
      <c r="O13" s="66">
        <f t="shared" si="3"/>
        <v>1829</v>
      </c>
      <c r="P13" s="66">
        <f t="shared" si="3"/>
        <v>5206</v>
      </c>
      <c r="Q13" s="66">
        <f t="shared" si="3"/>
        <v>3761</v>
      </c>
      <c r="R13" s="66">
        <f t="shared" si="3"/>
        <v>829</v>
      </c>
      <c r="S13" s="66">
        <f t="shared" si="3"/>
        <v>222</v>
      </c>
      <c r="T13" s="66">
        <f>SUM(T14:T18)</f>
        <v>1092</v>
      </c>
      <c r="U13" s="66">
        <f>SUM(U14:U18)</f>
        <v>115</v>
      </c>
      <c r="V13" s="66">
        <f>SUM(V14:V18)</f>
        <v>1257</v>
      </c>
      <c r="W13" s="66">
        <f>SUM(W14:W18)</f>
        <v>298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1:35" s="2" customFormat="1" ht="12.75">
      <c r="A14" s="28"/>
      <c r="B14" s="22" t="s">
        <v>67</v>
      </c>
      <c r="C14" s="22"/>
      <c r="D14" s="43">
        <v>568</v>
      </c>
      <c r="E14" s="44"/>
      <c r="F14" s="52">
        <f>ROUND((976/1936.27)*1000,0)</f>
        <v>504</v>
      </c>
      <c r="G14" s="45"/>
      <c r="H14" s="49">
        <v>817</v>
      </c>
      <c r="I14" s="45"/>
      <c r="J14" s="49">
        <v>537</v>
      </c>
      <c r="K14" s="45"/>
      <c r="L14" s="49">
        <v>321</v>
      </c>
      <c r="M14" s="45"/>
      <c r="N14" s="49">
        <v>186</v>
      </c>
      <c r="O14" s="45"/>
      <c r="P14" s="49">
        <v>25</v>
      </c>
      <c r="Q14" s="45"/>
      <c r="R14" s="49">
        <v>25</v>
      </c>
      <c r="S14" s="45"/>
      <c r="T14" s="49">
        <v>19</v>
      </c>
      <c r="U14" s="45"/>
      <c r="V14" s="49">
        <v>13</v>
      </c>
      <c r="W14" s="45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1:35" s="2" customFormat="1" ht="12.75">
      <c r="A15" s="28"/>
      <c r="B15" s="21" t="s">
        <v>79</v>
      </c>
      <c r="C15" s="23"/>
      <c r="D15" s="43">
        <f>334+1332</f>
        <v>1666</v>
      </c>
      <c r="E15" s="44">
        <f>109+1299</f>
        <v>1408</v>
      </c>
      <c r="F15" s="52">
        <v>1975</v>
      </c>
      <c r="G15" s="45">
        <v>1697</v>
      </c>
      <c r="H15" s="49">
        <v>1644</v>
      </c>
      <c r="I15" s="45">
        <v>1411</v>
      </c>
      <c r="J15" s="49">
        <v>1518</v>
      </c>
      <c r="K15" s="45">
        <v>1287</v>
      </c>
      <c r="L15" s="49">
        <v>1414</v>
      </c>
      <c r="M15" s="45">
        <v>1143</v>
      </c>
      <c r="N15" s="49">
        <v>2053</v>
      </c>
      <c r="O15" s="45">
        <v>1819</v>
      </c>
      <c r="P15" s="49">
        <v>3886</v>
      </c>
      <c r="Q15" s="45">
        <v>3661</v>
      </c>
      <c r="R15" s="49">
        <v>91</v>
      </c>
      <c r="S15" s="45">
        <v>57</v>
      </c>
      <c r="T15" s="49">
        <v>615</v>
      </c>
      <c r="U15" s="45">
        <v>50</v>
      </c>
      <c r="V15" s="49">
        <v>782</v>
      </c>
      <c r="W15" s="45">
        <v>170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1:35" s="24" customFormat="1" ht="12.75">
      <c r="A16" s="13"/>
      <c r="B16" s="10" t="s">
        <v>2</v>
      </c>
      <c r="C16" s="10"/>
      <c r="D16" s="67">
        <v>135</v>
      </c>
      <c r="E16" s="80"/>
      <c r="F16" s="52">
        <f>ROUND((409/1936.27)*1000,0)</f>
        <v>211</v>
      </c>
      <c r="G16" s="50"/>
      <c r="H16" s="52">
        <v>382</v>
      </c>
      <c r="I16" s="50"/>
      <c r="J16" s="52">
        <v>234</v>
      </c>
      <c r="K16" s="50"/>
      <c r="L16" s="52">
        <v>442</v>
      </c>
      <c r="M16" s="50"/>
      <c r="N16" s="52">
        <v>481</v>
      </c>
      <c r="O16" s="50"/>
      <c r="P16" s="52">
        <v>699</v>
      </c>
      <c r="Q16" s="50">
        <v>100</v>
      </c>
      <c r="R16" s="52">
        <v>440</v>
      </c>
      <c r="S16" s="50">
        <v>15</v>
      </c>
      <c r="T16" s="52">
        <v>144</v>
      </c>
      <c r="U16" s="50">
        <v>65</v>
      </c>
      <c r="V16" s="52">
        <v>162</v>
      </c>
      <c r="W16" s="50">
        <v>128</v>
      </c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s="24" customFormat="1" ht="12.75">
      <c r="A17" s="13"/>
      <c r="B17" s="10" t="s">
        <v>59</v>
      </c>
      <c r="C17" s="10"/>
      <c r="D17" s="67"/>
      <c r="E17" s="80"/>
      <c r="F17" s="52"/>
      <c r="G17" s="50"/>
      <c r="H17" s="52"/>
      <c r="I17" s="50"/>
      <c r="J17" s="52">
        <v>214</v>
      </c>
      <c r="K17" s="50"/>
      <c r="L17" s="52">
        <v>195</v>
      </c>
      <c r="M17" s="50"/>
      <c r="N17" s="52">
        <v>177</v>
      </c>
      <c r="O17" s="50"/>
      <c r="P17" s="52"/>
      <c r="Q17" s="50"/>
      <c r="R17" s="52"/>
      <c r="S17" s="50"/>
      <c r="T17" s="52"/>
      <c r="U17" s="50"/>
      <c r="V17" s="52"/>
      <c r="W17" s="5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s="24" customFormat="1" ht="12.75">
      <c r="A18" s="13"/>
      <c r="B18" s="10" t="s">
        <v>115</v>
      </c>
      <c r="C18" s="10"/>
      <c r="D18" s="67">
        <v>1074</v>
      </c>
      <c r="E18" s="80">
        <v>300</v>
      </c>
      <c r="F18" s="52">
        <v>874</v>
      </c>
      <c r="G18" s="50">
        <v>350</v>
      </c>
      <c r="H18" s="52">
        <v>1068</v>
      </c>
      <c r="I18" s="50">
        <v>150</v>
      </c>
      <c r="J18" s="52">
        <v>1720</v>
      </c>
      <c r="K18" s="50">
        <v>294</v>
      </c>
      <c r="L18" s="52">
        <v>944</v>
      </c>
      <c r="M18" s="50">
        <v>6</v>
      </c>
      <c r="N18" s="52">
        <v>753</v>
      </c>
      <c r="O18" s="50">
        <v>10</v>
      </c>
      <c r="P18" s="52">
        <v>596</v>
      </c>
      <c r="Q18" s="50"/>
      <c r="R18" s="52">
        <v>273</v>
      </c>
      <c r="S18" s="50">
        <v>150</v>
      </c>
      <c r="T18" s="52">
        <v>314</v>
      </c>
      <c r="U18" s="50"/>
      <c r="V18" s="52">
        <v>300</v>
      </c>
      <c r="W18" s="5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s="2" customFormat="1" ht="12.75">
      <c r="A19" s="114" t="s">
        <v>3</v>
      </c>
      <c r="B19" s="115"/>
      <c r="C19" s="115"/>
      <c r="D19" s="79">
        <v>315</v>
      </c>
      <c r="E19" s="78">
        <v>0</v>
      </c>
      <c r="F19" s="79">
        <f>ROUND((699/1936.27)*1000,0)</f>
        <v>361</v>
      </c>
      <c r="G19" s="78">
        <v>0</v>
      </c>
      <c r="H19" s="65">
        <v>339</v>
      </c>
      <c r="I19" s="78">
        <v>0</v>
      </c>
      <c r="J19" s="65">
        <v>265</v>
      </c>
      <c r="K19" s="78">
        <v>0</v>
      </c>
      <c r="L19" s="65">
        <v>250</v>
      </c>
      <c r="M19" s="78">
        <v>0</v>
      </c>
      <c r="N19" s="65">
        <v>359</v>
      </c>
      <c r="O19" s="78">
        <v>0</v>
      </c>
      <c r="P19" s="65">
        <v>378</v>
      </c>
      <c r="Q19" s="78">
        <v>0</v>
      </c>
      <c r="R19" s="65">
        <v>310</v>
      </c>
      <c r="S19" s="78"/>
      <c r="T19" s="65">
        <v>296</v>
      </c>
      <c r="U19" s="78"/>
      <c r="V19" s="65">
        <v>263</v>
      </c>
      <c r="W19" s="7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5" s="2" customFormat="1" ht="12.75">
      <c r="A20" s="114" t="s">
        <v>114</v>
      </c>
      <c r="B20" s="115"/>
      <c r="C20" s="115"/>
      <c r="D20" s="79">
        <v>258</v>
      </c>
      <c r="E20" s="78"/>
      <c r="F20" s="79">
        <f>ROUND((291/1936.27)*1000,0)</f>
        <v>150</v>
      </c>
      <c r="G20" s="78"/>
      <c r="H20" s="65">
        <v>127</v>
      </c>
      <c r="I20" s="78"/>
      <c r="J20" s="65">
        <v>73</v>
      </c>
      <c r="K20" s="78"/>
      <c r="L20" s="65">
        <v>71</v>
      </c>
      <c r="M20" s="78"/>
      <c r="N20" s="65">
        <v>124</v>
      </c>
      <c r="O20" s="78"/>
      <c r="P20" s="65">
        <v>63</v>
      </c>
      <c r="Q20" s="78"/>
      <c r="R20" s="65">
        <v>90</v>
      </c>
      <c r="S20" s="78"/>
      <c r="T20" s="65">
        <v>51</v>
      </c>
      <c r="U20" s="78"/>
      <c r="V20" s="65">
        <v>53</v>
      </c>
      <c r="W20" s="7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35" s="2" customFormat="1" ht="12.75">
      <c r="A21" s="114" t="s">
        <v>69</v>
      </c>
      <c r="B21" s="115"/>
      <c r="C21" s="115"/>
      <c r="D21" s="79"/>
      <c r="E21" s="79"/>
      <c r="F21" s="79">
        <f>ROUND((484/1936.27)*1000,0)</f>
        <v>250</v>
      </c>
      <c r="G21" s="79">
        <v>0</v>
      </c>
      <c r="H21" s="65">
        <f>851+23</f>
        <v>874</v>
      </c>
      <c r="I21" s="79">
        <v>0</v>
      </c>
      <c r="J21" s="65">
        <v>810</v>
      </c>
      <c r="K21" s="79">
        <v>0</v>
      </c>
      <c r="L21" s="65">
        <v>916</v>
      </c>
      <c r="M21" s="79">
        <v>0</v>
      </c>
      <c r="N21" s="65">
        <v>879</v>
      </c>
      <c r="O21" s="79">
        <v>0</v>
      </c>
      <c r="P21" s="65">
        <v>957</v>
      </c>
      <c r="Q21" s="79">
        <v>0</v>
      </c>
      <c r="R21" s="65">
        <v>727</v>
      </c>
      <c r="S21" s="79">
        <v>30</v>
      </c>
      <c r="T21" s="65">
        <v>656</v>
      </c>
      <c r="U21" s="79"/>
      <c r="V21" s="65">
        <v>654</v>
      </c>
      <c r="W21" s="79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1:35" s="2" customFormat="1" ht="12.75">
      <c r="A22" s="153" t="s">
        <v>144</v>
      </c>
      <c r="B22" s="118"/>
      <c r="C22" s="118"/>
      <c r="D22" s="148">
        <f aca="true" t="shared" si="4" ref="D22:W22">+D23+D24+D25+D31+D34+D41+D45+D49+D50</f>
        <v>11685</v>
      </c>
      <c r="E22" s="148">
        <f t="shared" si="4"/>
        <v>90</v>
      </c>
      <c r="F22" s="148">
        <f t="shared" si="4"/>
        <v>12251</v>
      </c>
      <c r="G22" s="148">
        <f t="shared" si="4"/>
        <v>81</v>
      </c>
      <c r="H22" s="148">
        <f t="shared" si="4"/>
        <v>11575</v>
      </c>
      <c r="I22" s="148">
        <f t="shared" si="4"/>
        <v>314.81800058876087</v>
      </c>
      <c r="J22" s="148">
        <f t="shared" si="4"/>
        <v>11452</v>
      </c>
      <c r="K22" s="148">
        <f t="shared" si="4"/>
        <v>641</v>
      </c>
      <c r="L22" s="148">
        <f t="shared" si="4"/>
        <v>11121</v>
      </c>
      <c r="M22" s="148">
        <f t="shared" si="4"/>
        <v>424</v>
      </c>
      <c r="N22" s="148">
        <f t="shared" si="4"/>
        <v>10599</v>
      </c>
      <c r="O22" s="148">
        <f t="shared" si="4"/>
        <v>101</v>
      </c>
      <c r="P22" s="148">
        <f t="shared" si="4"/>
        <v>10168</v>
      </c>
      <c r="Q22" s="148">
        <f t="shared" si="4"/>
        <v>212</v>
      </c>
      <c r="R22" s="148">
        <f t="shared" si="4"/>
        <v>7625</v>
      </c>
      <c r="S22" s="148">
        <f t="shared" si="4"/>
        <v>27</v>
      </c>
      <c r="T22" s="148">
        <f t="shared" si="4"/>
        <v>7972</v>
      </c>
      <c r="U22" s="148">
        <f t="shared" si="4"/>
        <v>321</v>
      </c>
      <c r="V22" s="148">
        <f t="shared" si="4"/>
        <v>7705</v>
      </c>
      <c r="W22" s="148">
        <f t="shared" si="4"/>
        <v>386</v>
      </c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35" s="2" customFormat="1" ht="12.75">
      <c r="A23" s="116" t="s">
        <v>160</v>
      </c>
      <c r="B23" s="117"/>
      <c r="C23" s="117"/>
      <c r="D23" s="151"/>
      <c r="E23" s="151"/>
      <c r="F23" s="151"/>
      <c r="G23" s="151"/>
      <c r="H23" s="150"/>
      <c r="I23" s="151"/>
      <c r="J23" s="150"/>
      <c r="K23" s="151"/>
      <c r="L23" s="150"/>
      <c r="M23" s="151"/>
      <c r="N23" s="150">
        <v>7</v>
      </c>
      <c r="O23" s="151"/>
      <c r="P23" s="150">
        <v>6</v>
      </c>
      <c r="Q23" s="151"/>
      <c r="R23" s="150">
        <v>5</v>
      </c>
      <c r="S23" s="151"/>
      <c r="T23" s="150">
        <v>6</v>
      </c>
      <c r="U23" s="151"/>
      <c r="V23" s="150">
        <v>5</v>
      </c>
      <c r="W23" s="151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</row>
    <row r="24" spans="1:35" s="2" customFormat="1" ht="12.75">
      <c r="A24" s="114" t="s">
        <v>68</v>
      </c>
      <c r="B24" s="115"/>
      <c r="C24" s="115"/>
      <c r="D24" s="79">
        <v>315</v>
      </c>
      <c r="E24" s="79">
        <v>0</v>
      </c>
      <c r="F24" s="79">
        <f>ROUND((440/1936.27)*1000,0)</f>
        <v>227</v>
      </c>
      <c r="G24" s="79">
        <v>0</v>
      </c>
      <c r="H24" s="65">
        <v>239</v>
      </c>
      <c r="I24" s="79">
        <v>0</v>
      </c>
      <c r="J24" s="65">
        <v>280</v>
      </c>
      <c r="K24" s="79">
        <v>0</v>
      </c>
      <c r="L24" s="65">
        <v>265</v>
      </c>
      <c r="M24" s="79">
        <v>0</v>
      </c>
      <c r="N24" s="65">
        <v>215</v>
      </c>
      <c r="O24" s="79">
        <v>0</v>
      </c>
      <c r="P24" s="65">
        <v>203</v>
      </c>
      <c r="Q24" s="79">
        <v>0</v>
      </c>
      <c r="R24" s="65">
        <v>224</v>
      </c>
      <c r="S24" s="79"/>
      <c r="T24" s="65">
        <v>298</v>
      </c>
      <c r="U24" s="79"/>
      <c r="V24" s="65">
        <v>200</v>
      </c>
      <c r="W24" s="79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</row>
    <row r="25" spans="1:35" s="2" customFormat="1" ht="12.75">
      <c r="A25" s="121" t="s">
        <v>145</v>
      </c>
      <c r="B25" s="115"/>
      <c r="C25" s="115"/>
      <c r="D25" s="66">
        <f aca="true" t="shared" si="5" ref="D25:W25">SUM(D26:D30)</f>
        <v>500</v>
      </c>
      <c r="E25" s="66">
        <f t="shared" si="5"/>
        <v>41</v>
      </c>
      <c r="F25" s="66">
        <f t="shared" si="5"/>
        <v>235</v>
      </c>
      <c r="G25" s="66">
        <f t="shared" si="5"/>
        <v>0</v>
      </c>
      <c r="H25" s="66">
        <f t="shared" si="5"/>
        <v>225</v>
      </c>
      <c r="I25" s="66">
        <f t="shared" si="5"/>
        <v>0</v>
      </c>
      <c r="J25" s="66">
        <f t="shared" si="5"/>
        <v>182</v>
      </c>
      <c r="K25" s="66">
        <f t="shared" si="5"/>
        <v>0</v>
      </c>
      <c r="L25" s="66">
        <f t="shared" si="5"/>
        <v>188</v>
      </c>
      <c r="M25" s="66">
        <f t="shared" si="5"/>
        <v>0</v>
      </c>
      <c r="N25" s="66">
        <f t="shared" si="5"/>
        <v>143</v>
      </c>
      <c r="O25" s="66">
        <f t="shared" si="5"/>
        <v>0</v>
      </c>
      <c r="P25" s="66">
        <f t="shared" si="5"/>
        <v>229</v>
      </c>
      <c r="Q25" s="66">
        <f t="shared" si="5"/>
        <v>140</v>
      </c>
      <c r="R25" s="66">
        <f t="shared" si="5"/>
        <v>74</v>
      </c>
      <c r="S25" s="66">
        <f t="shared" si="5"/>
        <v>26</v>
      </c>
      <c r="T25" s="66">
        <f t="shared" si="5"/>
        <v>211</v>
      </c>
      <c r="U25" s="66">
        <f t="shared" si="5"/>
        <v>53</v>
      </c>
      <c r="V25" s="66">
        <f t="shared" si="5"/>
        <v>113</v>
      </c>
      <c r="W25" s="66">
        <f t="shared" si="5"/>
        <v>43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5" s="2" customFormat="1" ht="12.75">
      <c r="A26" s="27"/>
      <c r="B26" s="22" t="s">
        <v>5</v>
      </c>
      <c r="C26" s="22"/>
      <c r="D26" s="49">
        <v>200</v>
      </c>
      <c r="E26" s="45"/>
      <c r="F26" s="52">
        <f>ROUND((153/1936.27)*1000,0)</f>
        <v>79</v>
      </c>
      <c r="G26" s="45"/>
      <c r="H26" s="49">
        <v>98</v>
      </c>
      <c r="I26" s="45"/>
      <c r="J26" s="49">
        <v>66</v>
      </c>
      <c r="K26" s="45"/>
      <c r="L26" s="49">
        <v>57</v>
      </c>
      <c r="M26" s="45"/>
      <c r="N26" s="49">
        <v>60</v>
      </c>
      <c r="O26" s="45"/>
      <c r="P26" s="49">
        <v>33</v>
      </c>
      <c r="Q26" s="45"/>
      <c r="R26" s="49">
        <v>25</v>
      </c>
      <c r="S26" s="45"/>
      <c r="T26" s="49">
        <v>137</v>
      </c>
      <c r="U26" s="45"/>
      <c r="V26" s="49">
        <v>69</v>
      </c>
      <c r="W26" s="45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5" s="2" customFormat="1" ht="12.75">
      <c r="A27" s="27"/>
      <c r="B27" s="22" t="s">
        <v>169</v>
      </c>
      <c r="C27" s="22"/>
      <c r="D27" s="49"/>
      <c r="E27" s="45"/>
      <c r="F27" s="52"/>
      <c r="G27" s="45"/>
      <c r="H27" s="49"/>
      <c r="I27" s="45"/>
      <c r="J27" s="49"/>
      <c r="K27" s="45"/>
      <c r="L27" s="49"/>
      <c r="M27" s="45"/>
      <c r="N27" s="49"/>
      <c r="O27" s="45"/>
      <c r="P27" s="49">
        <v>140</v>
      </c>
      <c r="Q27" s="45">
        <v>140</v>
      </c>
      <c r="R27" s="49">
        <v>26</v>
      </c>
      <c r="S27" s="45">
        <v>26</v>
      </c>
      <c r="T27" s="49">
        <v>53</v>
      </c>
      <c r="U27" s="45">
        <v>53</v>
      </c>
      <c r="V27" s="49">
        <v>43</v>
      </c>
      <c r="W27" s="45">
        <v>43</v>
      </c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5" s="2" customFormat="1" ht="12.75">
      <c r="A28" s="27"/>
      <c r="B28" s="23" t="s">
        <v>6</v>
      </c>
      <c r="C28" s="22"/>
      <c r="D28" s="63">
        <v>65</v>
      </c>
      <c r="E28" s="92">
        <v>41</v>
      </c>
      <c r="F28" s="93">
        <f>ROUND((45/1936.27)*1000,0)</f>
        <v>23</v>
      </c>
      <c r="G28" s="45"/>
      <c r="H28" s="49"/>
      <c r="I28" s="45"/>
      <c r="J28" s="49"/>
      <c r="K28" s="45"/>
      <c r="L28" s="49"/>
      <c r="M28" s="45"/>
      <c r="N28" s="49"/>
      <c r="O28" s="45"/>
      <c r="P28" s="49"/>
      <c r="Q28" s="45"/>
      <c r="R28" s="49"/>
      <c r="S28" s="45"/>
      <c r="T28" s="49"/>
      <c r="U28" s="45"/>
      <c r="V28" s="49"/>
      <c r="W28" s="45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35" s="2" customFormat="1" ht="12.75">
      <c r="A29" s="27"/>
      <c r="B29" s="23" t="s">
        <v>70</v>
      </c>
      <c r="C29" s="23"/>
      <c r="D29" s="63">
        <v>96</v>
      </c>
      <c r="E29" s="92"/>
      <c r="F29" s="93"/>
      <c r="G29" s="45"/>
      <c r="H29" s="63"/>
      <c r="I29" s="45"/>
      <c r="J29" s="63"/>
      <c r="K29" s="45"/>
      <c r="L29" s="63"/>
      <c r="M29" s="45"/>
      <c r="N29" s="63"/>
      <c r="O29" s="45"/>
      <c r="P29" s="63"/>
      <c r="Q29" s="45"/>
      <c r="R29" s="63"/>
      <c r="S29" s="45"/>
      <c r="T29" s="63"/>
      <c r="U29" s="45"/>
      <c r="V29" s="63"/>
      <c r="W29" s="45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 s="2" customFormat="1" ht="12.75">
      <c r="A30" s="27"/>
      <c r="B30" s="22" t="s">
        <v>127</v>
      </c>
      <c r="C30" s="22"/>
      <c r="D30" s="49">
        <v>139</v>
      </c>
      <c r="E30" s="45"/>
      <c r="F30" s="52">
        <f>ROUND((258/1936.27)*1000,0)</f>
        <v>133</v>
      </c>
      <c r="G30" s="45"/>
      <c r="H30" s="49">
        <v>127</v>
      </c>
      <c r="I30" s="45"/>
      <c r="J30" s="49">
        <v>116</v>
      </c>
      <c r="K30" s="45"/>
      <c r="L30" s="49">
        <v>131</v>
      </c>
      <c r="M30" s="45"/>
      <c r="N30" s="49">
        <v>83</v>
      </c>
      <c r="O30" s="45"/>
      <c r="P30" s="49">
        <v>56</v>
      </c>
      <c r="Q30" s="45"/>
      <c r="R30" s="49">
        <v>23</v>
      </c>
      <c r="S30" s="45"/>
      <c r="T30" s="49">
        <v>21</v>
      </c>
      <c r="U30" s="45"/>
      <c r="V30" s="49">
        <v>1</v>
      </c>
      <c r="W30" s="45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 s="2" customFormat="1" ht="12.75">
      <c r="A31" s="121" t="s">
        <v>147</v>
      </c>
      <c r="B31" s="115"/>
      <c r="C31" s="115"/>
      <c r="D31" s="62">
        <f aca="true" t="shared" si="6" ref="D31:S31">SUM(D32:D33)</f>
        <v>46</v>
      </c>
      <c r="E31" s="62">
        <f t="shared" si="6"/>
        <v>0</v>
      </c>
      <c r="F31" s="62">
        <f t="shared" si="6"/>
        <v>46</v>
      </c>
      <c r="G31" s="62">
        <f t="shared" si="6"/>
        <v>0</v>
      </c>
      <c r="H31" s="62">
        <f t="shared" si="6"/>
        <v>30</v>
      </c>
      <c r="I31" s="62">
        <f t="shared" si="6"/>
        <v>0</v>
      </c>
      <c r="J31" s="62">
        <f t="shared" si="6"/>
        <v>4</v>
      </c>
      <c r="K31" s="62">
        <f t="shared" si="6"/>
        <v>0</v>
      </c>
      <c r="L31" s="62">
        <f t="shared" si="6"/>
        <v>26</v>
      </c>
      <c r="M31" s="62">
        <f t="shared" si="6"/>
        <v>0</v>
      </c>
      <c r="N31" s="62">
        <f t="shared" si="6"/>
        <v>39</v>
      </c>
      <c r="O31" s="62">
        <f t="shared" si="6"/>
        <v>0</v>
      </c>
      <c r="P31" s="62">
        <f t="shared" si="6"/>
        <v>65</v>
      </c>
      <c r="Q31" s="62">
        <f t="shared" si="6"/>
        <v>0</v>
      </c>
      <c r="R31" s="62">
        <f t="shared" si="6"/>
        <v>105</v>
      </c>
      <c r="S31" s="62">
        <f t="shared" si="6"/>
        <v>0</v>
      </c>
      <c r="T31" s="62">
        <f>SUM(T32:T33)</f>
        <v>2</v>
      </c>
      <c r="U31" s="62">
        <f>SUM(U32:U33)</f>
        <v>0</v>
      </c>
      <c r="V31" s="62">
        <f>SUM(V32:V33)</f>
        <v>0</v>
      </c>
      <c r="W31" s="62">
        <f>SUM(W32:W33)</f>
        <v>0</v>
      </c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</row>
    <row r="32" spans="1:35" s="2" customFormat="1" ht="12.75">
      <c r="A32" s="25"/>
      <c r="B32" s="22" t="s">
        <v>7</v>
      </c>
      <c r="C32" s="26"/>
      <c r="D32" s="43">
        <v>46</v>
      </c>
      <c r="E32" s="44"/>
      <c r="F32" s="52">
        <f>ROUND((90/1936.27)*1000,0)</f>
        <v>46</v>
      </c>
      <c r="G32" s="45"/>
      <c r="H32" s="49">
        <v>30</v>
      </c>
      <c r="I32" s="45"/>
      <c r="J32" s="49">
        <v>4</v>
      </c>
      <c r="K32" s="45"/>
      <c r="L32" s="49">
        <v>20</v>
      </c>
      <c r="M32" s="45"/>
      <c r="N32" s="49"/>
      <c r="O32" s="45"/>
      <c r="P32" s="49"/>
      <c r="Q32" s="45"/>
      <c r="R32" s="49"/>
      <c r="S32" s="45"/>
      <c r="T32" s="49"/>
      <c r="U32" s="45"/>
      <c r="V32" s="49"/>
      <c r="W32" s="45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</row>
    <row r="33" spans="1:35" s="2" customFormat="1" ht="12.75">
      <c r="A33" s="14"/>
      <c r="B33" s="10" t="s">
        <v>8</v>
      </c>
      <c r="C33" s="11"/>
      <c r="D33" s="68"/>
      <c r="E33" s="91"/>
      <c r="F33" s="64"/>
      <c r="G33" s="77"/>
      <c r="H33" s="64">
        <v>0</v>
      </c>
      <c r="I33" s="77"/>
      <c r="J33" s="64"/>
      <c r="K33" s="77"/>
      <c r="L33" s="64">
        <v>6</v>
      </c>
      <c r="M33" s="77"/>
      <c r="N33" s="64">
        <v>39</v>
      </c>
      <c r="O33" s="77"/>
      <c r="P33" s="64">
        <v>65</v>
      </c>
      <c r="Q33" s="77"/>
      <c r="R33" s="64">
        <v>105</v>
      </c>
      <c r="S33" s="77"/>
      <c r="T33" s="64">
        <v>2</v>
      </c>
      <c r="U33" s="77"/>
      <c r="V33" s="64"/>
      <c r="W33" s="77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</row>
    <row r="34" spans="1:35" s="2" customFormat="1" ht="12.75">
      <c r="A34" s="114" t="s">
        <v>14</v>
      </c>
      <c r="B34" s="115"/>
      <c r="C34" s="115"/>
      <c r="D34" s="66">
        <f aca="true" t="shared" si="7" ref="D34:S34">SUM(D35:D40)</f>
        <v>1240</v>
      </c>
      <c r="E34" s="66">
        <f t="shared" si="7"/>
        <v>0</v>
      </c>
      <c r="F34" s="66">
        <f t="shared" si="7"/>
        <v>1008</v>
      </c>
      <c r="G34" s="66">
        <f t="shared" si="7"/>
        <v>0</v>
      </c>
      <c r="H34" s="66">
        <f t="shared" si="7"/>
        <v>1045</v>
      </c>
      <c r="I34" s="66">
        <f t="shared" si="7"/>
        <v>0</v>
      </c>
      <c r="J34" s="66">
        <f t="shared" si="7"/>
        <v>1041</v>
      </c>
      <c r="K34" s="66">
        <f t="shared" si="7"/>
        <v>0</v>
      </c>
      <c r="L34" s="66">
        <f t="shared" si="7"/>
        <v>962</v>
      </c>
      <c r="M34" s="66">
        <f t="shared" si="7"/>
        <v>0</v>
      </c>
      <c r="N34" s="66">
        <f t="shared" si="7"/>
        <v>879</v>
      </c>
      <c r="O34" s="66">
        <f t="shared" si="7"/>
        <v>0</v>
      </c>
      <c r="P34" s="66">
        <f t="shared" si="7"/>
        <v>946</v>
      </c>
      <c r="Q34" s="66">
        <f t="shared" si="7"/>
        <v>0</v>
      </c>
      <c r="R34" s="66">
        <f t="shared" si="7"/>
        <v>435</v>
      </c>
      <c r="S34" s="66">
        <f t="shared" si="7"/>
        <v>0</v>
      </c>
      <c r="T34" s="66">
        <f>SUM(T35:T40)</f>
        <v>500</v>
      </c>
      <c r="U34" s="66">
        <f>SUM(U35:U40)</f>
        <v>100</v>
      </c>
      <c r="V34" s="66">
        <f>SUM(V35:V40)</f>
        <v>400</v>
      </c>
      <c r="W34" s="66">
        <f>SUM(W35:W40)</f>
        <v>0</v>
      </c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</row>
    <row r="35" spans="1:35" s="2" customFormat="1" ht="12.75">
      <c r="A35" s="27"/>
      <c r="B35" s="22" t="s">
        <v>5</v>
      </c>
      <c r="C35" s="22"/>
      <c r="D35" s="43">
        <f>445</f>
        <v>445</v>
      </c>
      <c r="E35" s="44"/>
      <c r="F35" s="52">
        <f>ROUND((515/1936.27)*1000,0)</f>
        <v>266</v>
      </c>
      <c r="G35" s="45"/>
      <c r="H35" s="43">
        <v>224</v>
      </c>
      <c r="I35" s="45"/>
      <c r="J35" s="43">
        <v>315</v>
      </c>
      <c r="K35" s="45"/>
      <c r="L35" s="43">
        <v>419</v>
      </c>
      <c r="M35" s="45"/>
      <c r="N35" s="43">
        <v>101</v>
      </c>
      <c r="O35" s="45"/>
      <c r="P35" s="43">
        <v>368</v>
      </c>
      <c r="Q35" s="45"/>
      <c r="R35" s="43">
        <v>51</v>
      </c>
      <c r="S35" s="45"/>
      <c r="T35" s="43">
        <v>56</v>
      </c>
      <c r="U35" s="45"/>
      <c r="V35" s="43">
        <v>55</v>
      </c>
      <c r="W35" s="45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</row>
    <row r="36" spans="1:35" s="2" customFormat="1" ht="12.75">
      <c r="A36" s="27"/>
      <c r="B36" s="22" t="s">
        <v>15</v>
      </c>
      <c r="C36" s="22"/>
      <c r="D36" s="43">
        <v>5</v>
      </c>
      <c r="E36" s="44"/>
      <c r="F36" s="52">
        <f>ROUND((20/1936.27)*1000,0)</f>
        <v>10</v>
      </c>
      <c r="G36" s="45"/>
      <c r="H36" s="43">
        <v>23</v>
      </c>
      <c r="I36" s="45"/>
      <c r="J36" s="43">
        <v>145</v>
      </c>
      <c r="K36" s="45"/>
      <c r="L36" s="43">
        <v>130</v>
      </c>
      <c r="M36" s="45"/>
      <c r="N36" s="43">
        <v>165</v>
      </c>
      <c r="O36" s="45"/>
      <c r="P36" s="43">
        <v>109</v>
      </c>
      <c r="Q36" s="45"/>
      <c r="R36" s="43">
        <v>37</v>
      </c>
      <c r="S36" s="45"/>
      <c r="T36" s="43"/>
      <c r="U36" s="45"/>
      <c r="V36" s="43"/>
      <c r="W36" s="45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</row>
    <row r="37" spans="1:35" s="2" customFormat="1" ht="12.75">
      <c r="A37" s="27"/>
      <c r="B37" s="22" t="s">
        <v>179</v>
      </c>
      <c r="C37" s="22"/>
      <c r="D37" s="43">
        <v>60</v>
      </c>
      <c r="E37" s="44"/>
      <c r="F37" s="52">
        <f>ROUND((80/1936.27)*1000,0)</f>
        <v>41</v>
      </c>
      <c r="G37" s="45"/>
      <c r="H37" s="43">
        <v>0</v>
      </c>
      <c r="I37" s="45"/>
      <c r="J37" s="43"/>
      <c r="K37" s="45"/>
      <c r="L37" s="43"/>
      <c r="M37" s="45"/>
      <c r="N37" s="43"/>
      <c r="O37" s="45"/>
      <c r="P37" s="43">
        <v>12</v>
      </c>
      <c r="Q37" s="45"/>
      <c r="R37" s="43">
        <v>13</v>
      </c>
      <c r="S37" s="45"/>
      <c r="T37" s="43"/>
      <c r="U37" s="45"/>
      <c r="V37" s="43"/>
      <c r="W37" s="45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</row>
    <row r="38" spans="1:35" s="2" customFormat="1" ht="12.75">
      <c r="A38" s="27"/>
      <c r="B38" s="22" t="s">
        <v>126</v>
      </c>
      <c r="C38" s="22"/>
      <c r="D38" s="43">
        <v>336</v>
      </c>
      <c r="E38" s="44"/>
      <c r="F38" s="52">
        <f>ROUND((710/1936.27)*1000,0)</f>
        <v>367</v>
      </c>
      <c r="G38" s="45"/>
      <c r="H38" s="43">
        <v>506</v>
      </c>
      <c r="I38" s="45"/>
      <c r="J38" s="43">
        <v>478</v>
      </c>
      <c r="K38" s="45"/>
      <c r="L38" s="43">
        <v>400</v>
      </c>
      <c r="M38" s="45"/>
      <c r="N38" s="43">
        <v>394</v>
      </c>
      <c r="O38" s="45"/>
      <c r="P38" s="43">
        <v>258</v>
      </c>
      <c r="Q38" s="45"/>
      <c r="R38" s="43">
        <v>182</v>
      </c>
      <c r="S38" s="45"/>
      <c r="T38" s="43">
        <v>291</v>
      </c>
      <c r="U38" s="45">
        <v>100</v>
      </c>
      <c r="V38" s="43">
        <v>165</v>
      </c>
      <c r="W38" s="45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</row>
    <row r="39" spans="1:35" s="2" customFormat="1" ht="12.75">
      <c r="A39" s="27"/>
      <c r="B39" s="22" t="s">
        <v>180</v>
      </c>
      <c r="C39" s="22"/>
      <c r="D39" s="43">
        <v>270</v>
      </c>
      <c r="E39" s="44"/>
      <c r="F39" s="52">
        <f>ROUND((487/1936.27)*1000,0)</f>
        <v>252</v>
      </c>
      <c r="G39" s="45"/>
      <c r="H39" s="43">
        <v>241</v>
      </c>
      <c r="I39" s="45"/>
      <c r="J39" s="43">
        <v>42</v>
      </c>
      <c r="K39" s="45"/>
      <c r="L39" s="43">
        <v>13</v>
      </c>
      <c r="M39" s="45"/>
      <c r="N39" s="43">
        <v>219</v>
      </c>
      <c r="O39" s="45"/>
      <c r="P39" s="43">
        <v>199</v>
      </c>
      <c r="Q39" s="45"/>
      <c r="R39" s="43">
        <v>152</v>
      </c>
      <c r="S39" s="45"/>
      <c r="T39" s="43">
        <v>153</v>
      </c>
      <c r="U39" s="45"/>
      <c r="V39" s="43">
        <v>180</v>
      </c>
      <c r="W39" s="45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</row>
    <row r="40" spans="1:35" s="2" customFormat="1" ht="12.75">
      <c r="A40" s="113"/>
      <c r="B40" s="54" t="s">
        <v>61</v>
      </c>
      <c r="C40" s="54"/>
      <c r="D40" s="88">
        <v>124</v>
      </c>
      <c r="E40" s="89">
        <v>0</v>
      </c>
      <c r="F40" s="88">
        <f>ROUND((140/1936.27)*1000,0)</f>
        <v>72</v>
      </c>
      <c r="G40" s="89">
        <v>0</v>
      </c>
      <c r="H40" s="93">
        <v>51</v>
      </c>
      <c r="I40" s="92">
        <v>0</v>
      </c>
      <c r="J40" s="93">
        <v>61</v>
      </c>
      <c r="K40" s="92"/>
      <c r="L40" s="93"/>
      <c r="M40" s="92"/>
      <c r="N40" s="93"/>
      <c r="O40" s="92"/>
      <c r="P40" s="93"/>
      <c r="Q40" s="92"/>
      <c r="R40" s="93"/>
      <c r="S40" s="92"/>
      <c r="T40" s="93"/>
      <c r="U40" s="92"/>
      <c r="V40" s="93"/>
      <c r="W40" s="92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</row>
    <row r="41" spans="1:35" s="2" customFormat="1" ht="12.75">
      <c r="A41" s="114" t="s">
        <v>62</v>
      </c>
      <c r="B41" s="115"/>
      <c r="C41" s="115"/>
      <c r="D41" s="62">
        <f aca="true" t="shared" si="8" ref="D41:S41">SUM(D42:D44)</f>
        <v>89</v>
      </c>
      <c r="E41" s="62">
        <f t="shared" si="8"/>
        <v>0</v>
      </c>
      <c r="F41" s="62">
        <f t="shared" si="8"/>
        <v>116</v>
      </c>
      <c r="G41" s="62">
        <f t="shared" si="8"/>
        <v>0</v>
      </c>
      <c r="H41" s="62">
        <f t="shared" si="8"/>
        <v>80</v>
      </c>
      <c r="I41" s="62">
        <f t="shared" si="8"/>
        <v>0</v>
      </c>
      <c r="J41" s="62">
        <f t="shared" si="8"/>
        <v>107</v>
      </c>
      <c r="K41" s="62">
        <f t="shared" si="8"/>
        <v>0</v>
      </c>
      <c r="L41" s="62">
        <f t="shared" si="8"/>
        <v>58</v>
      </c>
      <c r="M41" s="62">
        <f t="shared" si="8"/>
        <v>0</v>
      </c>
      <c r="N41" s="62">
        <f t="shared" si="8"/>
        <v>46</v>
      </c>
      <c r="O41" s="62">
        <f t="shared" si="8"/>
        <v>0</v>
      </c>
      <c r="P41" s="62">
        <f t="shared" si="8"/>
        <v>54</v>
      </c>
      <c r="Q41" s="62">
        <f t="shared" si="8"/>
        <v>0</v>
      </c>
      <c r="R41" s="62">
        <f t="shared" si="8"/>
        <v>33</v>
      </c>
      <c r="S41" s="62">
        <f t="shared" si="8"/>
        <v>0</v>
      </c>
      <c r="T41" s="62">
        <f>SUM(T42:T44)</f>
        <v>42</v>
      </c>
      <c r="U41" s="62">
        <f>SUM(U42:U44)</f>
        <v>9</v>
      </c>
      <c r="V41" s="62">
        <f>SUM(V42:V44)</f>
        <v>73</v>
      </c>
      <c r="W41" s="62">
        <f>SUM(W42:W44)</f>
        <v>30</v>
      </c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</row>
    <row r="42" spans="1:35" s="2" customFormat="1" ht="12.75">
      <c r="A42" s="9"/>
      <c r="B42" s="10" t="s">
        <v>5</v>
      </c>
      <c r="C42" s="11"/>
      <c r="D42" s="67">
        <v>89</v>
      </c>
      <c r="E42" s="80"/>
      <c r="F42" s="52">
        <f>ROUND((225/1936.27)*1000,0)</f>
        <v>116</v>
      </c>
      <c r="G42" s="50"/>
      <c r="H42" s="52">
        <v>80</v>
      </c>
      <c r="I42" s="50"/>
      <c r="J42" s="52">
        <v>107</v>
      </c>
      <c r="K42" s="50"/>
      <c r="L42" s="52">
        <v>58</v>
      </c>
      <c r="M42" s="50"/>
      <c r="N42" s="52">
        <v>37</v>
      </c>
      <c r="O42" s="50"/>
      <c r="P42" s="52">
        <v>45</v>
      </c>
      <c r="Q42" s="50"/>
      <c r="R42" s="52">
        <v>32</v>
      </c>
      <c r="S42" s="50"/>
      <c r="T42" s="52">
        <v>42</v>
      </c>
      <c r="U42" s="50">
        <v>9</v>
      </c>
      <c r="V42" s="52">
        <v>73</v>
      </c>
      <c r="W42" s="50">
        <v>30</v>
      </c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</row>
    <row r="43" spans="1:35" s="2" customFormat="1" ht="12.75">
      <c r="A43" s="9"/>
      <c r="B43" s="10" t="s">
        <v>84</v>
      </c>
      <c r="C43" s="11"/>
      <c r="D43" s="67">
        <v>0</v>
      </c>
      <c r="E43" s="80"/>
      <c r="F43" s="52">
        <v>0</v>
      </c>
      <c r="G43" s="50"/>
      <c r="H43" s="67">
        <v>0</v>
      </c>
      <c r="I43" s="50"/>
      <c r="J43" s="67"/>
      <c r="K43" s="50"/>
      <c r="L43" s="67"/>
      <c r="M43" s="50"/>
      <c r="N43" s="67">
        <v>7</v>
      </c>
      <c r="O43" s="50"/>
      <c r="P43" s="67">
        <v>2</v>
      </c>
      <c r="Q43" s="50"/>
      <c r="R43" s="67"/>
      <c r="S43" s="50"/>
      <c r="T43" s="67"/>
      <c r="U43" s="50"/>
      <c r="V43" s="67"/>
      <c r="W43" s="50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35" s="2" customFormat="1" ht="12.75">
      <c r="A44" s="18"/>
      <c r="B44" s="17" t="s">
        <v>54</v>
      </c>
      <c r="C44" s="15"/>
      <c r="D44" s="68">
        <v>0</v>
      </c>
      <c r="E44" s="91"/>
      <c r="F44" s="52">
        <v>0</v>
      </c>
      <c r="G44" s="77"/>
      <c r="H44" s="68">
        <v>0</v>
      </c>
      <c r="I44" s="77"/>
      <c r="J44" s="68"/>
      <c r="K44" s="77"/>
      <c r="L44" s="68"/>
      <c r="M44" s="77"/>
      <c r="N44" s="68">
        <v>2</v>
      </c>
      <c r="O44" s="77"/>
      <c r="P44" s="68">
        <v>7</v>
      </c>
      <c r="Q44" s="77"/>
      <c r="R44" s="68">
        <v>1</v>
      </c>
      <c r="S44" s="77"/>
      <c r="T44" s="68"/>
      <c r="U44" s="77"/>
      <c r="V44" s="68"/>
      <c r="W44" s="77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</row>
    <row r="45" spans="1:35" s="2" customFormat="1" ht="12.75">
      <c r="A45" s="114" t="s">
        <v>71</v>
      </c>
      <c r="B45" s="115"/>
      <c r="C45" s="115"/>
      <c r="D45" s="62">
        <f aca="true" t="shared" si="9" ref="D45:Q45">SUM(D46:D48)</f>
        <v>7879</v>
      </c>
      <c r="E45" s="62">
        <f t="shared" si="9"/>
        <v>0</v>
      </c>
      <c r="F45" s="62">
        <f t="shared" si="9"/>
        <v>9104</v>
      </c>
      <c r="G45" s="62">
        <f t="shared" si="9"/>
        <v>0</v>
      </c>
      <c r="H45" s="62">
        <f t="shared" si="9"/>
        <v>8016</v>
      </c>
      <c r="I45" s="62">
        <f t="shared" si="9"/>
        <v>112.58760400150805</v>
      </c>
      <c r="J45" s="62">
        <f t="shared" si="9"/>
        <v>8513</v>
      </c>
      <c r="K45" s="62">
        <f t="shared" si="9"/>
        <v>620</v>
      </c>
      <c r="L45" s="62">
        <f t="shared" si="9"/>
        <v>8435</v>
      </c>
      <c r="M45" s="62">
        <f t="shared" si="9"/>
        <v>404</v>
      </c>
      <c r="N45" s="62">
        <f t="shared" si="9"/>
        <v>8296</v>
      </c>
      <c r="O45" s="62">
        <f t="shared" si="9"/>
        <v>78</v>
      </c>
      <c r="P45" s="62">
        <f t="shared" si="9"/>
        <v>7639</v>
      </c>
      <c r="Q45" s="62">
        <f t="shared" si="9"/>
        <v>20</v>
      </c>
      <c r="R45" s="62">
        <f aca="true" t="shared" si="10" ref="R45:W45">SUM(R46:R48)</f>
        <v>6189</v>
      </c>
      <c r="S45" s="62">
        <f t="shared" si="10"/>
        <v>0</v>
      </c>
      <c r="T45" s="62">
        <f t="shared" si="10"/>
        <v>6315</v>
      </c>
      <c r="U45" s="62">
        <f t="shared" si="10"/>
        <v>150</v>
      </c>
      <c r="V45" s="62">
        <f t="shared" si="10"/>
        <v>6145</v>
      </c>
      <c r="W45" s="62">
        <f t="shared" si="10"/>
        <v>192</v>
      </c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</row>
    <row r="46" spans="1:35" s="2" customFormat="1" ht="12.75">
      <c r="A46" s="27"/>
      <c r="B46" s="22" t="s">
        <v>7</v>
      </c>
      <c r="C46" s="22"/>
      <c r="D46" s="43">
        <v>50</v>
      </c>
      <c r="E46" s="44"/>
      <c r="F46" s="52">
        <f>ROUND((100/1936.27)*1000,0)</f>
        <v>52</v>
      </c>
      <c r="G46" s="45"/>
      <c r="H46" s="43">
        <v>40</v>
      </c>
      <c r="I46" s="45"/>
      <c r="J46" s="43">
        <v>174</v>
      </c>
      <c r="K46" s="45"/>
      <c r="L46" s="43">
        <v>167</v>
      </c>
      <c r="M46" s="45"/>
      <c r="N46" s="43">
        <v>531</v>
      </c>
      <c r="O46" s="45"/>
      <c r="P46" s="43">
        <v>174</v>
      </c>
      <c r="Q46" s="45"/>
      <c r="R46" s="43">
        <v>68</v>
      </c>
      <c r="S46" s="45"/>
      <c r="T46" s="43">
        <v>72</v>
      </c>
      <c r="U46" s="45"/>
      <c r="V46" s="43">
        <v>115</v>
      </c>
      <c r="W46" s="45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</row>
    <row r="47" spans="1:35" s="2" customFormat="1" ht="12.75">
      <c r="A47" s="27"/>
      <c r="B47" s="22" t="s">
        <v>63</v>
      </c>
      <c r="C47" s="22"/>
      <c r="D47" s="43">
        <v>2927</v>
      </c>
      <c r="E47" s="44"/>
      <c r="F47" s="52">
        <f>ROUND((6324/1936.27)*1000,0)</f>
        <v>3266</v>
      </c>
      <c r="G47" s="45"/>
      <c r="H47" s="43">
        <v>2383</v>
      </c>
      <c r="I47" s="45"/>
      <c r="J47" s="43">
        <v>2614</v>
      </c>
      <c r="K47" s="45"/>
      <c r="L47" s="43">
        <v>2781</v>
      </c>
      <c r="M47" s="45"/>
      <c r="N47" s="43">
        <v>2552</v>
      </c>
      <c r="O47" s="45"/>
      <c r="P47" s="43">
        <v>2974</v>
      </c>
      <c r="Q47" s="45"/>
      <c r="R47" s="43">
        <v>3097</v>
      </c>
      <c r="S47" s="45"/>
      <c r="T47" s="43">
        <v>3368</v>
      </c>
      <c r="U47" s="45"/>
      <c r="V47" s="43">
        <v>3160</v>
      </c>
      <c r="W47" s="45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</row>
    <row r="48" spans="1:35" s="2" customFormat="1" ht="12.75">
      <c r="A48" s="27"/>
      <c r="B48" s="22" t="s">
        <v>16</v>
      </c>
      <c r="C48" s="22"/>
      <c r="D48" s="43">
        <v>4902</v>
      </c>
      <c r="E48" s="44"/>
      <c r="F48" s="52">
        <f>ROUND((11203/1936.27)*1000,0)</f>
        <v>5786</v>
      </c>
      <c r="G48" s="45"/>
      <c r="H48" s="43">
        <v>5593</v>
      </c>
      <c r="I48" s="45">
        <f>218/1.93627</f>
        <v>112.58760400150805</v>
      </c>
      <c r="J48" s="43">
        <v>5725</v>
      </c>
      <c r="K48" s="45">
        <v>620</v>
      </c>
      <c r="L48" s="43">
        <v>5487</v>
      </c>
      <c r="M48" s="45">
        <v>404</v>
      </c>
      <c r="N48" s="43">
        <v>5213</v>
      </c>
      <c r="O48" s="45">
        <v>78</v>
      </c>
      <c r="P48" s="43">
        <v>4491</v>
      </c>
      <c r="Q48" s="45">
        <v>20</v>
      </c>
      <c r="R48" s="43">
        <v>3024</v>
      </c>
      <c r="S48" s="45"/>
      <c r="T48" s="43">
        <v>2875</v>
      </c>
      <c r="U48" s="45">
        <v>150</v>
      </c>
      <c r="V48" s="43">
        <v>2870</v>
      </c>
      <c r="W48" s="45">
        <v>192</v>
      </c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</row>
    <row r="49" spans="1:35" s="2" customFormat="1" ht="12.75">
      <c r="A49" s="121" t="s">
        <v>148</v>
      </c>
      <c r="B49" s="115"/>
      <c r="C49" s="115"/>
      <c r="D49" s="79">
        <v>150</v>
      </c>
      <c r="E49" s="79"/>
      <c r="F49" s="79">
        <v>162</v>
      </c>
      <c r="G49" s="79"/>
      <c r="H49" s="65">
        <v>169</v>
      </c>
      <c r="I49" s="79"/>
      <c r="J49" s="65">
        <v>244</v>
      </c>
      <c r="K49" s="79"/>
      <c r="L49" s="65">
        <v>304</v>
      </c>
      <c r="M49" s="79"/>
      <c r="N49" s="65">
        <v>227</v>
      </c>
      <c r="O49" s="79"/>
      <c r="P49" s="65">
        <v>246</v>
      </c>
      <c r="Q49" s="79"/>
      <c r="R49" s="65">
        <v>146</v>
      </c>
      <c r="S49" s="79"/>
      <c r="T49" s="65">
        <v>138</v>
      </c>
      <c r="U49" s="79"/>
      <c r="V49" s="65">
        <v>157</v>
      </c>
      <c r="W49" s="79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</row>
    <row r="50" spans="1:35" s="24" customFormat="1" ht="12.75">
      <c r="A50" s="121" t="s">
        <v>96</v>
      </c>
      <c r="B50" s="115"/>
      <c r="C50" s="115"/>
      <c r="D50" s="62">
        <f aca="true" t="shared" si="11" ref="D50:Q50">SUM(D51:D53)</f>
        <v>1466</v>
      </c>
      <c r="E50" s="62">
        <f t="shared" si="11"/>
        <v>49</v>
      </c>
      <c r="F50" s="62">
        <f t="shared" si="11"/>
        <v>1353</v>
      </c>
      <c r="G50" s="62">
        <f t="shared" si="11"/>
        <v>81</v>
      </c>
      <c r="H50" s="62">
        <f t="shared" si="11"/>
        <v>1771</v>
      </c>
      <c r="I50" s="62">
        <f t="shared" si="11"/>
        <v>202.2303965872528</v>
      </c>
      <c r="J50" s="62">
        <f t="shared" si="11"/>
        <v>1081</v>
      </c>
      <c r="K50" s="62">
        <f t="shared" si="11"/>
        <v>21</v>
      </c>
      <c r="L50" s="62">
        <f t="shared" si="11"/>
        <v>883</v>
      </c>
      <c r="M50" s="62">
        <f t="shared" si="11"/>
        <v>20</v>
      </c>
      <c r="N50" s="62">
        <f t="shared" si="11"/>
        <v>747</v>
      </c>
      <c r="O50" s="62">
        <f t="shared" si="11"/>
        <v>23</v>
      </c>
      <c r="P50" s="62">
        <f t="shared" si="11"/>
        <v>780</v>
      </c>
      <c r="Q50" s="62">
        <f t="shared" si="11"/>
        <v>52</v>
      </c>
      <c r="R50" s="62">
        <f aca="true" t="shared" si="12" ref="R50:W50">SUM(R51:R53)</f>
        <v>414</v>
      </c>
      <c r="S50" s="62">
        <f t="shared" si="12"/>
        <v>1</v>
      </c>
      <c r="T50" s="62">
        <f t="shared" si="12"/>
        <v>460</v>
      </c>
      <c r="U50" s="62">
        <f t="shared" si="12"/>
        <v>9</v>
      </c>
      <c r="V50" s="62">
        <f t="shared" si="12"/>
        <v>612</v>
      </c>
      <c r="W50" s="62">
        <f t="shared" si="12"/>
        <v>121</v>
      </c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1:35" s="2" customFormat="1" ht="12.75">
      <c r="A51" s="9"/>
      <c r="B51" s="10" t="s">
        <v>7</v>
      </c>
      <c r="D51" s="67">
        <v>1152</v>
      </c>
      <c r="E51" s="80">
        <v>25</v>
      </c>
      <c r="F51" s="52">
        <v>604</v>
      </c>
      <c r="G51" s="50">
        <v>0</v>
      </c>
      <c r="H51" s="67">
        <v>559</v>
      </c>
      <c r="I51" s="50">
        <v>0</v>
      </c>
      <c r="J51" s="67">
        <v>33</v>
      </c>
      <c r="K51" s="50">
        <v>0</v>
      </c>
      <c r="L51" s="67">
        <v>5</v>
      </c>
      <c r="M51" s="50"/>
      <c r="N51" s="67">
        <v>36</v>
      </c>
      <c r="O51" s="50"/>
      <c r="P51" s="67">
        <v>86</v>
      </c>
      <c r="Q51" s="50"/>
      <c r="R51" s="67">
        <v>45</v>
      </c>
      <c r="S51" s="50"/>
      <c r="T51" s="67">
        <v>33</v>
      </c>
      <c r="U51" s="50"/>
      <c r="V51" s="67">
        <v>19</v>
      </c>
      <c r="W51" s="50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</row>
    <row r="52" spans="1:35" s="2" customFormat="1" ht="12.75">
      <c r="A52" s="9"/>
      <c r="B52" s="10" t="s">
        <v>105</v>
      </c>
      <c r="D52" s="67">
        <v>24</v>
      </c>
      <c r="E52" s="80">
        <v>24</v>
      </c>
      <c r="F52" s="52">
        <v>572</v>
      </c>
      <c r="G52" s="50">
        <v>81</v>
      </c>
      <c r="H52" s="67">
        <v>897</v>
      </c>
      <c r="I52" s="50">
        <v>202.2303965872528</v>
      </c>
      <c r="J52" s="67">
        <v>730</v>
      </c>
      <c r="K52" s="50">
        <v>21</v>
      </c>
      <c r="L52" s="67">
        <v>607</v>
      </c>
      <c r="M52" s="50">
        <v>20</v>
      </c>
      <c r="N52" s="67">
        <v>462</v>
      </c>
      <c r="O52" s="50">
        <v>23</v>
      </c>
      <c r="P52" s="67">
        <v>604</v>
      </c>
      <c r="Q52" s="50">
        <v>52</v>
      </c>
      <c r="R52" s="67">
        <v>281</v>
      </c>
      <c r="S52" s="50">
        <v>1</v>
      </c>
      <c r="T52" s="67">
        <v>344</v>
      </c>
      <c r="U52" s="50">
        <v>9</v>
      </c>
      <c r="V52" s="67">
        <v>514</v>
      </c>
      <c r="W52" s="50">
        <v>121</v>
      </c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</row>
    <row r="53" spans="1:35" s="2" customFormat="1" ht="12.75">
      <c r="A53" s="28"/>
      <c r="B53" s="22" t="s">
        <v>1</v>
      </c>
      <c r="D53" s="43">
        <v>290</v>
      </c>
      <c r="E53" s="44"/>
      <c r="F53" s="52">
        <f>ROUND((342/1936.27)*1000,0)</f>
        <v>177</v>
      </c>
      <c r="G53" s="45"/>
      <c r="H53" s="49">
        <v>315</v>
      </c>
      <c r="I53" s="45"/>
      <c r="J53" s="49">
        <v>318</v>
      </c>
      <c r="K53" s="45"/>
      <c r="L53" s="49">
        <v>271</v>
      </c>
      <c r="M53" s="45"/>
      <c r="N53" s="49">
        <v>249</v>
      </c>
      <c r="O53" s="45"/>
      <c r="P53" s="49">
        <v>90</v>
      </c>
      <c r="Q53" s="45"/>
      <c r="R53" s="49">
        <v>88</v>
      </c>
      <c r="S53" s="45"/>
      <c r="T53" s="49">
        <v>83</v>
      </c>
      <c r="U53" s="45"/>
      <c r="V53" s="49">
        <v>79</v>
      </c>
      <c r="W53" s="45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</row>
    <row r="54" spans="1:35" s="2" customFormat="1" ht="12.75">
      <c r="A54" s="153" t="s">
        <v>149</v>
      </c>
      <c r="B54" s="118"/>
      <c r="C54" s="118"/>
      <c r="D54" s="148">
        <f aca="true" t="shared" si="13" ref="D54:W54">+D55+D73+D79+D80+D81+D86+D94+D111+D116+D124+D131+D143+D144+D147</f>
        <v>57669</v>
      </c>
      <c r="E54" s="148">
        <f t="shared" si="13"/>
        <v>11410</v>
      </c>
      <c r="F54" s="148">
        <f t="shared" si="13"/>
        <v>66770.5</v>
      </c>
      <c r="G54" s="148">
        <f t="shared" si="13"/>
        <v>14493</v>
      </c>
      <c r="H54" s="148">
        <f t="shared" si="13"/>
        <v>64442</v>
      </c>
      <c r="I54" s="148">
        <f t="shared" si="13"/>
        <v>12209.245311862498</v>
      </c>
      <c r="J54" s="148">
        <f t="shared" si="13"/>
        <v>71160</v>
      </c>
      <c r="K54" s="148">
        <f t="shared" si="13"/>
        <v>15727</v>
      </c>
      <c r="L54" s="148">
        <f t="shared" si="13"/>
        <v>72592</v>
      </c>
      <c r="M54" s="148">
        <f t="shared" si="13"/>
        <v>15473</v>
      </c>
      <c r="N54" s="148">
        <f t="shared" si="13"/>
        <v>71639</v>
      </c>
      <c r="O54" s="148">
        <f t="shared" si="13"/>
        <v>13595</v>
      </c>
      <c r="P54" s="148">
        <f t="shared" si="13"/>
        <v>74973</v>
      </c>
      <c r="Q54" s="148">
        <f t="shared" si="13"/>
        <v>15938</v>
      </c>
      <c r="R54" s="148">
        <f t="shared" si="13"/>
        <v>62148</v>
      </c>
      <c r="S54" s="148">
        <f t="shared" si="13"/>
        <v>11854</v>
      </c>
      <c r="T54" s="148">
        <f t="shared" si="13"/>
        <v>73845</v>
      </c>
      <c r="U54" s="148">
        <f t="shared" si="13"/>
        <v>18261</v>
      </c>
      <c r="V54" s="148">
        <f t="shared" si="13"/>
        <v>77782</v>
      </c>
      <c r="W54" s="148">
        <f t="shared" si="13"/>
        <v>24326</v>
      </c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</row>
    <row r="55" spans="1:35" s="2" customFormat="1" ht="12.75">
      <c r="A55" s="116" t="s">
        <v>117</v>
      </c>
      <c r="B55" s="117"/>
      <c r="C55" s="117"/>
      <c r="D55" s="66">
        <f aca="true" t="shared" si="14" ref="D55:Q55">+D56+D57+D62+D63+D64+D65</f>
        <v>14550</v>
      </c>
      <c r="E55" s="66">
        <f t="shared" si="14"/>
        <v>235</v>
      </c>
      <c r="F55" s="66">
        <f t="shared" si="14"/>
        <v>15997</v>
      </c>
      <c r="G55" s="66">
        <f t="shared" si="14"/>
        <v>166</v>
      </c>
      <c r="H55" s="66">
        <f t="shared" si="14"/>
        <v>17852</v>
      </c>
      <c r="I55" s="66">
        <f t="shared" si="14"/>
        <v>2063.2453118624985</v>
      </c>
      <c r="J55" s="66">
        <f t="shared" si="14"/>
        <v>18593</v>
      </c>
      <c r="K55" s="66">
        <f t="shared" si="14"/>
        <v>3635</v>
      </c>
      <c r="L55" s="66">
        <f t="shared" si="14"/>
        <v>17417</v>
      </c>
      <c r="M55" s="66">
        <f t="shared" si="14"/>
        <v>2263</v>
      </c>
      <c r="N55" s="66">
        <f t="shared" si="14"/>
        <v>15634</v>
      </c>
      <c r="O55" s="66">
        <f t="shared" si="14"/>
        <v>310</v>
      </c>
      <c r="P55" s="66">
        <f t="shared" si="14"/>
        <v>17383</v>
      </c>
      <c r="Q55" s="66">
        <f t="shared" si="14"/>
        <v>740</v>
      </c>
      <c r="R55" s="66">
        <f aca="true" t="shared" si="15" ref="R55:W55">+R56+R57+R62+R63+R64+R65</f>
        <v>15644</v>
      </c>
      <c r="S55" s="66">
        <f t="shared" si="15"/>
        <v>679</v>
      </c>
      <c r="T55" s="66">
        <f t="shared" si="15"/>
        <v>16250</v>
      </c>
      <c r="U55" s="66">
        <f t="shared" si="15"/>
        <v>241</v>
      </c>
      <c r="V55" s="66">
        <f t="shared" si="15"/>
        <v>15426</v>
      </c>
      <c r="W55" s="66">
        <f t="shared" si="15"/>
        <v>407</v>
      </c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35" s="2" customFormat="1" ht="12.75">
      <c r="A56" s="27"/>
      <c r="B56" s="22" t="s">
        <v>128</v>
      </c>
      <c r="D56" s="49">
        <v>1620</v>
      </c>
      <c r="E56" s="45">
        <v>67</v>
      </c>
      <c r="F56" s="52">
        <f>ROUND((3354/1936.27)*1000,0)</f>
        <v>1732</v>
      </c>
      <c r="G56" s="45"/>
      <c r="H56" s="49">
        <v>2570</v>
      </c>
      <c r="I56" s="45">
        <f>262/1.93627</f>
        <v>135.31170756144547</v>
      </c>
      <c r="J56" s="49">
        <v>979</v>
      </c>
      <c r="K56" s="45"/>
      <c r="L56" s="49">
        <v>685</v>
      </c>
      <c r="M56" s="45"/>
      <c r="N56" s="49">
        <v>532</v>
      </c>
      <c r="O56" s="45">
        <v>9</v>
      </c>
      <c r="P56" s="49">
        <v>633</v>
      </c>
      <c r="Q56" s="45">
        <v>123</v>
      </c>
      <c r="R56" s="49">
        <v>570</v>
      </c>
      <c r="S56" s="45">
        <v>5</v>
      </c>
      <c r="T56" s="49">
        <v>288</v>
      </c>
      <c r="U56" s="45"/>
      <c r="V56" s="49">
        <v>577</v>
      </c>
      <c r="W56" s="45">
        <v>90</v>
      </c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35" s="125" customFormat="1" ht="12.75">
      <c r="A57" s="27"/>
      <c r="B57" s="22" t="s">
        <v>56</v>
      </c>
      <c r="C57" s="2"/>
      <c r="D57" s="49">
        <f aca="true" t="shared" si="16" ref="D57:Q57">SUM(D58:D61)</f>
        <v>570</v>
      </c>
      <c r="E57" s="49">
        <f t="shared" si="16"/>
        <v>0</v>
      </c>
      <c r="F57" s="49">
        <f t="shared" si="16"/>
        <v>1387</v>
      </c>
      <c r="G57" s="49">
        <f t="shared" si="16"/>
        <v>0</v>
      </c>
      <c r="H57" s="49">
        <f t="shared" si="16"/>
        <v>831</v>
      </c>
      <c r="I57" s="49">
        <f t="shared" si="16"/>
        <v>284.0512944992176</v>
      </c>
      <c r="J57" s="49">
        <f t="shared" si="16"/>
        <v>3665</v>
      </c>
      <c r="K57" s="49">
        <f t="shared" si="16"/>
        <v>2360</v>
      </c>
      <c r="L57" s="49">
        <f t="shared" si="16"/>
        <v>1535</v>
      </c>
      <c r="M57" s="49">
        <f t="shared" si="16"/>
        <v>440</v>
      </c>
      <c r="N57" s="49">
        <f t="shared" si="16"/>
        <v>1054</v>
      </c>
      <c r="O57" s="49">
        <f t="shared" si="16"/>
        <v>81</v>
      </c>
      <c r="P57" s="49">
        <f t="shared" si="16"/>
        <v>2094</v>
      </c>
      <c r="Q57" s="49">
        <f t="shared" si="16"/>
        <v>387</v>
      </c>
      <c r="R57" s="49">
        <f aca="true" t="shared" si="17" ref="R57:W57">SUM(R58:R61)</f>
        <v>716</v>
      </c>
      <c r="S57" s="49">
        <f t="shared" si="17"/>
        <v>331</v>
      </c>
      <c r="T57" s="49">
        <f t="shared" si="17"/>
        <v>1551</v>
      </c>
      <c r="U57" s="49">
        <f t="shared" si="17"/>
        <v>0</v>
      </c>
      <c r="V57" s="49">
        <f t="shared" si="17"/>
        <v>772</v>
      </c>
      <c r="W57" s="49">
        <f t="shared" si="17"/>
        <v>165</v>
      </c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</row>
    <row r="58" spans="1:35" s="125" customFormat="1" ht="9.75" customHeight="1">
      <c r="A58" s="126"/>
      <c r="C58" s="129" t="s">
        <v>10</v>
      </c>
      <c r="D58" s="127">
        <v>362</v>
      </c>
      <c r="E58" s="130"/>
      <c r="F58" s="127">
        <f>ROUND((2401/1936.27)*1000,0)</f>
        <v>1240</v>
      </c>
      <c r="G58" s="130"/>
      <c r="H58" s="127">
        <v>516</v>
      </c>
      <c r="I58" s="130"/>
      <c r="J58" s="127">
        <v>3373</v>
      </c>
      <c r="K58" s="130">
        <v>2360</v>
      </c>
      <c r="L58" s="127">
        <v>533</v>
      </c>
      <c r="M58" s="130"/>
      <c r="N58" s="127">
        <f>706+59</f>
        <v>765</v>
      </c>
      <c r="O58" s="130">
        <f>22+59</f>
        <v>81</v>
      </c>
      <c r="P58" s="127">
        <v>1638</v>
      </c>
      <c r="Q58" s="130"/>
      <c r="R58" s="127">
        <v>687</v>
      </c>
      <c r="S58" s="130">
        <v>314</v>
      </c>
      <c r="T58" s="127">
        <v>1536</v>
      </c>
      <c r="U58" s="130"/>
      <c r="V58" s="127">
        <v>316</v>
      </c>
      <c r="W58" s="130">
        <v>165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</row>
    <row r="59" spans="1:35" s="125" customFormat="1" ht="9.75" customHeight="1">
      <c r="A59" s="126"/>
      <c r="C59" s="129" t="s">
        <v>141</v>
      </c>
      <c r="D59" s="127"/>
      <c r="E59" s="130"/>
      <c r="F59" s="127"/>
      <c r="G59" s="130"/>
      <c r="H59" s="127"/>
      <c r="I59" s="130"/>
      <c r="J59" s="127"/>
      <c r="K59" s="130"/>
      <c r="L59" s="127"/>
      <c r="M59" s="130"/>
      <c r="N59" s="127"/>
      <c r="O59" s="130"/>
      <c r="P59" s="127"/>
      <c r="Q59" s="130"/>
      <c r="R59" s="127">
        <v>17</v>
      </c>
      <c r="S59" s="130">
        <v>17</v>
      </c>
      <c r="T59" s="127"/>
      <c r="U59" s="130"/>
      <c r="V59" s="127"/>
      <c r="W59" s="130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</row>
    <row r="60" spans="1:35" s="125" customFormat="1" ht="9.75" customHeight="1">
      <c r="A60" s="126"/>
      <c r="C60" s="125" t="s">
        <v>86</v>
      </c>
      <c r="D60" s="127">
        <v>206</v>
      </c>
      <c r="E60" s="130"/>
      <c r="F60" s="127">
        <v>145</v>
      </c>
      <c r="G60" s="130"/>
      <c r="H60" s="127">
        <f>284+1</f>
        <v>285</v>
      </c>
      <c r="I60" s="130">
        <f>550/1.93627</f>
        <v>284.0512944992176</v>
      </c>
      <c r="J60" s="127">
        <v>199</v>
      </c>
      <c r="K60" s="130"/>
      <c r="L60" s="127">
        <v>258</v>
      </c>
      <c r="M60" s="130"/>
      <c r="N60" s="127">
        <v>64</v>
      </c>
      <c r="O60" s="130"/>
      <c r="P60" s="127">
        <v>59</v>
      </c>
      <c r="Q60" s="130"/>
      <c r="R60" s="127">
        <v>3</v>
      </c>
      <c r="S60" s="130"/>
      <c r="T60" s="127">
        <v>6</v>
      </c>
      <c r="U60" s="130"/>
      <c r="V60" s="127">
        <v>449</v>
      </c>
      <c r="W60" s="130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</row>
    <row r="61" spans="1:35" s="2" customFormat="1" ht="9.75" customHeight="1">
      <c r="A61" s="126"/>
      <c r="B61" s="125"/>
      <c r="C61" s="125" t="s">
        <v>9</v>
      </c>
      <c r="D61" s="127">
        <v>2</v>
      </c>
      <c r="E61" s="130"/>
      <c r="F61" s="127">
        <f>ROUND((4/1936.27)*1000,0)</f>
        <v>2</v>
      </c>
      <c r="G61" s="130"/>
      <c r="H61" s="127">
        <v>30</v>
      </c>
      <c r="I61" s="130"/>
      <c r="J61" s="127">
        <v>93</v>
      </c>
      <c r="K61" s="130"/>
      <c r="L61" s="127">
        <v>744</v>
      </c>
      <c r="M61" s="130">
        <v>440</v>
      </c>
      <c r="N61" s="127">
        <v>225</v>
      </c>
      <c r="O61" s="130"/>
      <c r="P61" s="127">
        <v>397</v>
      </c>
      <c r="Q61" s="130">
        <v>387</v>
      </c>
      <c r="R61" s="127">
        <v>9</v>
      </c>
      <c r="S61" s="130"/>
      <c r="T61" s="127">
        <v>9</v>
      </c>
      <c r="U61" s="130"/>
      <c r="V61" s="127">
        <v>7</v>
      </c>
      <c r="W61" s="130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35" s="2" customFormat="1" ht="12.75">
      <c r="A62" s="27"/>
      <c r="B62" s="10" t="s">
        <v>129</v>
      </c>
      <c r="D62" s="52">
        <v>491</v>
      </c>
      <c r="E62" s="50"/>
      <c r="F62" s="52">
        <f>ROUND((670/1936.27)*1000,0)</f>
        <v>346</v>
      </c>
      <c r="G62" s="50"/>
      <c r="H62" s="52">
        <v>369</v>
      </c>
      <c r="I62" s="50"/>
      <c r="J62" s="52">
        <v>420</v>
      </c>
      <c r="K62" s="50">
        <v>37</v>
      </c>
      <c r="L62" s="52">
        <v>441</v>
      </c>
      <c r="M62" s="50"/>
      <c r="N62" s="52">
        <v>488</v>
      </c>
      <c r="O62" s="50"/>
      <c r="P62" s="52">
        <v>453</v>
      </c>
      <c r="Q62" s="50"/>
      <c r="R62" s="52">
        <v>381</v>
      </c>
      <c r="S62" s="50"/>
      <c r="T62" s="52">
        <v>373</v>
      </c>
      <c r="U62" s="50"/>
      <c r="V62" s="52">
        <v>330</v>
      </c>
      <c r="W62" s="50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35" s="2" customFormat="1" ht="12.75">
      <c r="A63" s="131"/>
      <c r="B63" s="10" t="s">
        <v>130</v>
      </c>
      <c r="D63" s="52">
        <v>77</v>
      </c>
      <c r="E63" s="50"/>
      <c r="F63" s="52">
        <f>ROUND((260/1936.27)*1000,0)</f>
        <v>134</v>
      </c>
      <c r="G63" s="50"/>
      <c r="H63" s="52">
        <v>38</v>
      </c>
      <c r="I63" s="50"/>
      <c r="J63" s="52">
        <v>29</v>
      </c>
      <c r="K63" s="50"/>
      <c r="L63" s="52">
        <v>136</v>
      </c>
      <c r="M63" s="50"/>
      <c r="N63" s="52">
        <v>104</v>
      </c>
      <c r="O63" s="50"/>
      <c r="P63" s="52">
        <v>98</v>
      </c>
      <c r="Q63" s="50"/>
      <c r="R63" s="52">
        <v>167</v>
      </c>
      <c r="S63" s="50">
        <v>167</v>
      </c>
      <c r="T63" s="52">
        <v>118</v>
      </c>
      <c r="U63" s="50">
        <v>100</v>
      </c>
      <c r="V63" s="52"/>
      <c r="W63" s="50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35" s="2" customFormat="1" ht="12.75">
      <c r="A64" s="27"/>
      <c r="B64" s="10" t="s">
        <v>131</v>
      </c>
      <c r="D64" s="52">
        <v>1</v>
      </c>
      <c r="E64" s="50"/>
      <c r="F64" s="52">
        <f>ROUND((201/1936.27)*1000,0)</f>
        <v>104</v>
      </c>
      <c r="G64" s="50"/>
      <c r="H64" s="52"/>
      <c r="I64" s="50"/>
      <c r="J64" s="52">
        <v>1</v>
      </c>
      <c r="K64" s="50"/>
      <c r="L64" s="52"/>
      <c r="M64" s="50"/>
      <c r="N64" s="52">
        <v>67</v>
      </c>
      <c r="O64" s="50"/>
      <c r="P64" s="52">
        <v>1</v>
      </c>
      <c r="Q64" s="50"/>
      <c r="R64" s="52">
        <v>1</v>
      </c>
      <c r="S64" s="50"/>
      <c r="T64" s="52"/>
      <c r="U64" s="50"/>
      <c r="V64" s="52"/>
      <c r="W64" s="50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</row>
    <row r="65" spans="1:35" s="125" customFormat="1" ht="12.75">
      <c r="A65" s="27"/>
      <c r="B65" s="22" t="s">
        <v>132</v>
      </c>
      <c r="C65" s="2"/>
      <c r="D65" s="49">
        <f aca="true" t="shared" si="18" ref="D65:Q65">SUM(D66:D72)</f>
        <v>11791</v>
      </c>
      <c r="E65" s="49">
        <f t="shared" si="18"/>
        <v>168</v>
      </c>
      <c r="F65" s="49">
        <f t="shared" si="18"/>
        <v>12294</v>
      </c>
      <c r="G65" s="49">
        <f t="shared" si="18"/>
        <v>166</v>
      </c>
      <c r="H65" s="49">
        <f t="shared" si="18"/>
        <v>14044</v>
      </c>
      <c r="I65" s="49">
        <f t="shared" si="18"/>
        <v>1643.8823098018356</v>
      </c>
      <c r="J65" s="49">
        <f t="shared" si="18"/>
        <v>13499</v>
      </c>
      <c r="K65" s="49">
        <f t="shared" si="18"/>
        <v>1238</v>
      </c>
      <c r="L65" s="49">
        <f t="shared" si="18"/>
        <v>14620</v>
      </c>
      <c r="M65" s="49">
        <f t="shared" si="18"/>
        <v>1823</v>
      </c>
      <c r="N65" s="49">
        <f t="shared" si="18"/>
        <v>13389</v>
      </c>
      <c r="O65" s="49">
        <f t="shared" si="18"/>
        <v>220</v>
      </c>
      <c r="P65" s="49">
        <f t="shared" si="18"/>
        <v>14104</v>
      </c>
      <c r="Q65" s="49">
        <f t="shared" si="18"/>
        <v>230</v>
      </c>
      <c r="R65" s="49">
        <f aca="true" t="shared" si="19" ref="R65:W65">SUM(R66:R72)</f>
        <v>13809</v>
      </c>
      <c r="S65" s="49">
        <f t="shared" si="19"/>
        <v>176</v>
      </c>
      <c r="T65" s="49">
        <f t="shared" si="19"/>
        <v>13920</v>
      </c>
      <c r="U65" s="49">
        <f t="shared" si="19"/>
        <v>141</v>
      </c>
      <c r="V65" s="49">
        <f t="shared" si="19"/>
        <v>13747</v>
      </c>
      <c r="W65" s="49">
        <f t="shared" si="19"/>
        <v>152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</row>
    <row r="66" spans="1:35" s="125" customFormat="1" ht="9.75" customHeight="1">
      <c r="A66" s="126"/>
      <c r="C66" s="125" t="s">
        <v>133</v>
      </c>
      <c r="D66" s="127"/>
      <c r="E66" s="130"/>
      <c r="F66" s="127"/>
      <c r="G66" s="130"/>
      <c r="H66" s="127"/>
      <c r="I66" s="130"/>
      <c r="J66" s="127"/>
      <c r="K66" s="130"/>
      <c r="L66" s="127">
        <v>197</v>
      </c>
      <c r="M66" s="130"/>
      <c r="N66" s="127">
        <v>188</v>
      </c>
      <c r="O66" s="130"/>
      <c r="P66" s="127">
        <v>179</v>
      </c>
      <c r="Q66" s="130"/>
      <c r="R66" s="127">
        <v>37</v>
      </c>
      <c r="S66" s="130"/>
      <c r="T66" s="127">
        <v>10</v>
      </c>
      <c r="U66" s="130"/>
      <c r="V66" s="127"/>
      <c r="W66" s="130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</row>
    <row r="67" spans="1:35" s="125" customFormat="1" ht="9.75" customHeight="1">
      <c r="A67" s="126"/>
      <c r="C67" s="125" t="s">
        <v>102</v>
      </c>
      <c r="D67" s="127">
        <v>3318</v>
      </c>
      <c r="E67" s="130"/>
      <c r="F67" s="127">
        <f>ROUND((4215/1936.27)*1000,0)</f>
        <v>2177</v>
      </c>
      <c r="G67" s="130"/>
      <c r="H67" s="127">
        <v>3733</v>
      </c>
      <c r="I67" s="130">
        <f>2502/1.93627</f>
        <v>1292.1751615218952</v>
      </c>
      <c r="J67" s="127">
        <v>3923</v>
      </c>
      <c r="K67" s="130">
        <v>948</v>
      </c>
      <c r="L67" s="127">
        <v>4188</v>
      </c>
      <c r="M67" s="130">
        <v>1559</v>
      </c>
      <c r="N67" s="127">
        <v>2647</v>
      </c>
      <c r="O67" s="130"/>
      <c r="P67" s="127">
        <v>2799</v>
      </c>
      <c r="Q67" s="130"/>
      <c r="R67" s="127">
        <v>2819</v>
      </c>
      <c r="S67" s="130">
        <v>62</v>
      </c>
      <c r="T67" s="127">
        <v>2758</v>
      </c>
      <c r="U67" s="130">
        <v>14</v>
      </c>
      <c r="V67" s="127">
        <v>2911</v>
      </c>
      <c r="W67" s="130">
        <v>20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</row>
    <row r="68" spans="1:35" s="125" customFormat="1" ht="9.75" customHeight="1">
      <c r="A68" s="126"/>
      <c r="C68" s="125" t="s">
        <v>104</v>
      </c>
      <c r="D68" s="127">
        <v>5020</v>
      </c>
      <c r="E68" s="130"/>
      <c r="F68" s="127">
        <f>ROUND((12841/1936.27)*1000,0)-166</f>
        <v>6466</v>
      </c>
      <c r="G68" s="130"/>
      <c r="H68" s="127">
        <v>4823</v>
      </c>
      <c r="I68" s="130">
        <f>681/1.93627</f>
        <v>351.7071482799403</v>
      </c>
      <c r="J68" s="127">
        <v>4511</v>
      </c>
      <c r="K68" s="130">
        <v>290</v>
      </c>
      <c r="L68" s="127">
        <v>3699</v>
      </c>
      <c r="M68" s="130">
        <v>264</v>
      </c>
      <c r="N68" s="127">
        <v>3606</v>
      </c>
      <c r="O68" s="130">
        <v>130</v>
      </c>
      <c r="P68" s="127">
        <v>3710</v>
      </c>
      <c r="Q68" s="130">
        <v>130</v>
      </c>
      <c r="R68" s="127">
        <v>3607</v>
      </c>
      <c r="S68" s="130">
        <v>104</v>
      </c>
      <c r="T68" s="127">
        <v>3613</v>
      </c>
      <c r="U68" s="130">
        <v>117</v>
      </c>
      <c r="V68" s="127">
        <v>3439</v>
      </c>
      <c r="W68" s="130">
        <v>122</v>
      </c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</row>
    <row r="69" spans="1:35" s="125" customFormat="1" ht="9.75" customHeight="1">
      <c r="A69" s="126"/>
      <c r="C69" s="125" t="s">
        <v>103</v>
      </c>
      <c r="D69" s="127"/>
      <c r="E69" s="130"/>
      <c r="F69" s="127"/>
      <c r="G69" s="130"/>
      <c r="H69" s="127"/>
      <c r="I69" s="130"/>
      <c r="J69" s="127">
        <v>154</v>
      </c>
      <c r="K69" s="130"/>
      <c r="L69" s="127">
        <v>1372</v>
      </c>
      <c r="M69" s="130"/>
      <c r="N69" s="127">
        <v>1443</v>
      </c>
      <c r="O69" s="130">
        <v>90</v>
      </c>
      <c r="P69" s="127">
        <v>1583</v>
      </c>
      <c r="Q69" s="130">
        <v>100</v>
      </c>
      <c r="R69" s="127">
        <v>1376</v>
      </c>
      <c r="S69" s="130">
        <v>10</v>
      </c>
      <c r="T69" s="127">
        <v>1333</v>
      </c>
      <c r="U69" s="130">
        <v>10</v>
      </c>
      <c r="V69" s="127">
        <v>1393</v>
      </c>
      <c r="W69" s="130">
        <v>10</v>
      </c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</row>
    <row r="70" spans="1:35" s="125" customFormat="1" ht="9.75" customHeight="1">
      <c r="A70" s="126"/>
      <c r="C70" s="125" t="s">
        <v>134</v>
      </c>
      <c r="D70" s="127"/>
      <c r="E70" s="130"/>
      <c r="F70" s="127"/>
      <c r="G70" s="130"/>
      <c r="H70" s="127">
        <v>3904</v>
      </c>
      <c r="I70" s="130"/>
      <c r="J70" s="127">
        <v>4911</v>
      </c>
      <c r="K70" s="130"/>
      <c r="L70" s="127">
        <v>5164</v>
      </c>
      <c r="M70" s="130"/>
      <c r="N70" s="127">
        <v>5505</v>
      </c>
      <c r="O70" s="130"/>
      <c r="P70" s="127">
        <v>5833</v>
      </c>
      <c r="Q70" s="130"/>
      <c r="R70" s="127">
        <v>5970</v>
      </c>
      <c r="S70" s="130"/>
      <c r="T70" s="127">
        <v>6206</v>
      </c>
      <c r="U70" s="130"/>
      <c r="V70" s="127">
        <v>6004</v>
      </c>
      <c r="W70" s="130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</row>
    <row r="71" spans="1:35" s="2" customFormat="1" ht="9.75" customHeight="1">
      <c r="A71" s="126"/>
      <c r="B71" s="125"/>
      <c r="C71" s="132" t="s">
        <v>12</v>
      </c>
      <c r="D71" s="133">
        <v>1938</v>
      </c>
      <c r="E71" s="134">
        <v>168</v>
      </c>
      <c r="F71" s="133">
        <f>ROUND((3308/1936.27)*1000,0)+166</f>
        <v>1874</v>
      </c>
      <c r="G71" s="134">
        <f>ROUND(320701/1936.27,0)</f>
        <v>166</v>
      </c>
      <c r="H71" s="133">
        <v>190</v>
      </c>
      <c r="I71" s="134"/>
      <c r="J71" s="133"/>
      <c r="K71" s="134"/>
      <c r="L71" s="133"/>
      <c r="M71" s="134"/>
      <c r="N71" s="133"/>
      <c r="O71" s="134"/>
      <c r="P71" s="133"/>
      <c r="Q71" s="134"/>
      <c r="R71" s="133"/>
      <c r="S71" s="134"/>
      <c r="T71" s="133"/>
      <c r="U71" s="134"/>
      <c r="V71" s="133"/>
      <c r="W71" s="134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</row>
    <row r="72" spans="1:35" s="2" customFormat="1" ht="9.75" customHeight="1">
      <c r="A72" s="135"/>
      <c r="B72" s="136"/>
      <c r="C72" s="137" t="s">
        <v>13</v>
      </c>
      <c r="D72" s="138">
        <v>1515</v>
      </c>
      <c r="E72" s="139"/>
      <c r="F72" s="138">
        <f>ROUND((3440/1936.27)*1000,0)</f>
        <v>1777</v>
      </c>
      <c r="G72" s="139"/>
      <c r="H72" s="138">
        <v>1394</v>
      </c>
      <c r="I72" s="139"/>
      <c r="J72" s="138"/>
      <c r="K72" s="139"/>
      <c r="L72" s="138"/>
      <c r="M72" s="139"/>
      <c r="N72" s="138"/>
      <c r="O72" s="139"/>
      <c r="P72" s="138"/>
      <c r="Q72" s="139"/>
      <c r="R72" s="138"/>
      <c r="S72" s="139"/>
      <c r="T72" s="138"/>
      <c r="U72" s="139"/>
      <c r="V72" s="138"/>
      <c r="W72" s="139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</row>
    <row r="73" spans="1:35" s="36" customFormat="1" ht="12.75">
      <c r="A73" s="114" t="s">
        <v>118</v>
      </c>
      <c r="B73" s="115"/>
      <c r="C73" s="115"/>
      <c r="D73" s="62">
        <f>SUM(D74:D78)-1</f>
        <v>2557</v>
      </c>
      <c r="E73" s="62">
        <f aca="true" t="shared" si="20" ref="E73:J73">SUM(E74:E78)</f>
        <v>22</v>
      </c>
      <c r="F73" s="62">
        <f t="shared" si="20"/>
        <v>3350</v>
      </c>
      <c r="G73" s="62">
        <f t="shared" si="20"/>
        <v>5</v>
      </c>
      <c r="H73" s="62">
        <f t="shared" si="20"/>
        <v>3101</v>
      </c>
      <c r="I73" s="62">
        <f t="shared" si="20"/>
        <v>0</v>
      </c>
      <c r="J73" s="62">
        <f t="shared" si="20"/>
        <v>3006</v>
      </c>
      <c r="K73" s="62"/>
      <c r="L73" s="62">
        <f aca="true" t="shared" si="21" ref="L73:Q73">SUM(L74:L78)</f>
        <v>4389</v>
      </c>
      <c r="M73" s="62">
        <f t="shared" si="21"/>
        <v>5</v>
      </c>
      <c r="N73" s="62">
        <f t="shared" si="21"/>
        <v>6669</v>
      </c>
      <c r="O73" s="62">
        <f t="shared" si="21"/>
        <v>1</v>
      </c>
      <c r="P73" s="62">
        <f t="shared" si="21"/>
        <v>6530</v>
      </c>
      <c r="Q73" s="62">
        <f t="shared" si="21"/>
        <v>7</v>
      </c>
      <c r="R73" s="62">
        <f aca="true" t="shared" si="22" ref="R73:W73">SUM(R74:R78)</f>
        <v>10165</v>
      </c>
      <c r="S73" s="62">
        <f t="shared" si="22"/>
        <v>0</v>
      </c>
      <c r="T73" s="62">
        <f t="shared" si="22"/>
        <v>11811</v>
      </c>
      <c r="U73" s="62">
        <f t="shared" si="22"/>
        <v>64</v>
      </c>
      <c r="V73" s="62">
        <f t="shared" si="22"/>
        <v>9254</v>
      </c>
      <c r="W73" s="62">
        <f t="shared" si="22"/>
        <v>0</v>
      </c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</row>
    <row r="74" spans="1:35" s="2" customFormat="1" ht="12.75">
      <c r="A74" s="42"/>
      <c r="B74" s="10" t="s">
        <v>26</v>
      </c>
      <c r="C74" s="11"/>
      <c r="D74" s="67">
        <v>754</v>
      </c>
      <c r="E74" s="80"/>
      <c r="F74" s="52">
        <f>ROUND((1377/1936.27)*1000,0)</f>
        <v>711</v>
      </c>
      <c r="G74" s="50"/>
      <c r="H74" s="52">
        <v>1413</v>
      </c>
      <c r="I74" s="50"/>
      <c r="J74" s="52">
        <v>1010</v>
      </c>
      <c r="K74" s="50"/>
      <c r="L74" s="52">
        <v>1281</v>
      </c>
      <c r="M74" s="50"/>
      <c r="N74" s="52">
        <v>1251</v>
      </c>
      <c r="O74" s="50"/>
      <c r="P74" s="52">
        <v>1313</v>
      </c>
      <c r="Q74" s="50"/>
      <c r="R74" s="52">
        <v>1063</v>
      </c>
      <c r="S74" s="50"/>
      <c r="T74" s="52">
        <v>1197</v>
      </c>
      <c r="U74" s="50"/>
      <c r="V74" s="52">
        <v>812</v>
      </c>
      <c r="W74" s="50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</row>
    <row r="75" spans="1:35" s="2" customFormat="1" ht="12.75">
      <c r="A75" s="42"/>
      <c r="B75" s="10" t="s">
        <v>4</v>
      </c>
      <c r="C75" s="11"/>
      <c r="D75" s="67">
        <v>182</v>
      </c>
      <c r="E75" s="80">
        <v>22</v>
      </c>
      <c r="F75" s="52">
        <f>ROUND((249/1936.27)*1000,0)</f>
        <v>129</v>
      </c>
      <c r="G75" s="50">
        <f>ROUND((10155/1936.27),0)</f>
        <v>5</v>
      </c>
      <c r="H75" s="52">
        <v>115</v>
      </c>
      <c r="I75" s="50">
        <v>0</v>
      </c>
      <c r="J75" s="52">
        <v>92</v>
      </c>
      <c r="K75" s="50"/>
      <c r="L75" s="52">
        <v>92</v>
      </c>
      <c r="M75" s="50">
        <v>5</v>
      </c>
      <c r="N75" s="52">
        <v>91</v>
      </c>
      <c r="O75" s="50">
        <v>1</v>
      </c>
      <c r="P75" s="52">
        <v>96</v>
      </c>
      <c r="Q75" s="50">
        <v>7</v>
      </c>
      <c r="R75" s="52">
        <v>83</v>
      </c>
      <c r="S75" s="50"/>
      <c r="T75" s="52">
        <v>154</v>
      </c>
      <c r="U75" s="50">
        <v>64</v>
      </c>
      <c r="V75" s="52">
        <v>106</v>
      </c>
      <c r="W75" s="50"/>
      <c r="X75" s="96"/>
      <c r="Y75" s="96"/>
      <c r="Z75" s="96"/>
      <c r="AA75" s="96"/>
      <c r="AB75" s="96"/>
      <c r="AC75" s="96"/>
      <c r="AD75" s="96"/>
      <c r="AE75" s="96"/>
      <c r="AF75" s="96"/>
      <c r="AG75" s="58"/>
      <c r="AH75" s="58"/>
      <c r="AI75" s="58"/>
    </row>
    <row r="76" spans="1:35" s="2" customFormat="1" ht="12.75">
      <c r="A76" s="14"/>
      <c r="B76" s="10" t="s">
        <v>107</v>
      </c>
      <c r="C76" s="11"/>
      <c r="D76" s="67"/>
      <c r="E76" s="80"/>
      <c r="F76" s="52"/>
      <c r="G76" s="50"/>
      <c r="H76" s="52"/>
      <c r="I76" s="50"/>
      <c r="J76" s="52">
        <v>142</v>
      </c>
      <c r="K76" s="50"/>
      <c r="L76" s="52">
        <v>77</v>
      </c>
      <c r="M76" s="50"/>
      <c r="N76" s="52">
        <v>120</v>
      </c>
      <c r="O76" s="50"/>
      <c r="P76" s="52">
        <v>130</v>
      </c>
      <c r="Q76" s="50"/>
      <c r="R76" s="52">
        <v>55</v>
      </c>
      <c r="S76" s="50"/>
      <c r="T76" s="52">
        <v>80</v>
      </c>
      <c r="U76" s="50"/>
      <c r="V76" s="52">
        <v>60</v>
      </c>
      <c r="W76" s="50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</row>
    <row r="77" spans="1:35" s="2" customFormat="1" ht="12.75">
      <c r="A77" s="25"/>
      <c r="B77" s="22" t="s">
        <v>108</v>
      </c>
      <c r="C77" s="26"/>
      <c r="D77" s="43">
        <v>1163</v>
      </c>
      <c r="E77" s="44"/>
      <c r="F77" s="52">
        <f>ROUND((3800/1936.27)*1000,0)</f>
        <v>1963</v>
      </c>
      <c r="G77" s="45"/>
      <c r="H77" s="49">
        <v>659</v>
      </c>
      <c r="I77" s="45"/>
      <c r="J77" s="49">
        <v>1085</v>
      </c>
      <c r="K77" s="45"/>
      <c r="L77" s="49">
        <v>2072</v>
      </c>
      <c r="M77" s="45"/>
      <c r="N77" s="49">
        <v>4200</v>
      </c>
      <c r="O77" s="45"/>
      <c r="P77" s="49">
        <v>3789</v>
      </c>
      <c r="Q77" s="45"/>
      <c r="R77" s="49">
        <v>7963</v>
      </c>
      <c r="S77" s="45"/>
      <c r="T77" s="49">
        <v>9378</v>
      </c>
      <c r="U77" s="45"/>
      <c r="V77" s="49">
        <v>7470</v>
      </c>
      <c r="W77" s="45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</row>
    <row r="78" spans="1:35" s="2" customFormat="1" ht="12.75">
      <c r="A78" s="57"/>
      <c r="B78" s="35" t="s">
        <v>109</v>
      </c>
      <c r="C78" s="33"/>
      <c r="D78" s="69">
        <v>459</v>
      </c>
      <c r="E78" s="94"/>
      <c r="F78" s="64">
        <f>ROUND((1059/1936.27)*1000,0)</f>
        <v>547</v>
      </c>
      <c r="G78" s="51"/>
      <c r="H78" s="72">
        <v>914</v>
      </c>
      <c r="I78" s="51"/>
      <c r="J78" s="72">
        <v>677</v>
      </c>
      <c r="K78" s="51"/>
      <c r="L78" s="72">
        <v>867</v>
      </c>
      <c r="M78" s="51"/>
      <c r="N78" s="72">
        <v>1007</v>
      </c>
      <c r="O78" s="51"/>
      <c r="P78" s="72">
        <v>1202</v>
      </c>
      <c r="Q78" s="51"/>
      <c r="R78" s="72">
        <v>1001</v>
      </c>
      <c r="S78" s="51"/>
      <c r="T78" s="72">
        <v>1002</v>
      </c>
      <c r="U78" s="51"/>
      <c r="V78" s="72">
        <v>806</v>
      </c>
      <c r="W78" s="51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</row>
    <row r="79" spans="1:35" s="2" customFormat="1" ht="12.75">
      <c r="A79" s="121" t="s">
        <v>60</v>
      </c>
      <c r="B79" s="115"/>
      <c r="C79" s="115"/>
      <c r="D79" s="79">
        <v>784</v>
      </c>
      <c r="E79" s="79"/>
      <c r="F79" s="79">
        <f>ROUND((1847/1936.27)*1000,0)</f>
        <v>954</v>
      </c>
      <c r="G79" s="79"/>
      <c r="H79" s="65">
        <v>1304</v>
      </c>
      <c r="I79" s="79"/>
      <c r="J79" s="65">
        <v>1852</v>
      </c>
      <c r="K79" s="79"/>
      <c r="L79" s="65">
        <v>3046</v>
      </c>
      <c r="M79" s="79"/>
      <c r="N79" s="65">
        <v>4516</v>
      </c>
      <c r="O79" s="79"/>
      <c r="P79" s="65">
        <v>4841</v>
      </c>
      <c r="Q79" s="79"/>
      <c r="R79" s="65">
        <v>2727</v>
      </c>
      <c r="S79" s="79"/>
      <c r="T79" s="65">
        <v>3989</v>
      </c>
      <c r="U79" s="79"/>
      <c r="V79" s="65">
        <v>9058</v>
      </c>
      <c r="W79" s="79">
        <v>3308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</row>
    <row r="80" spans="1:35" s="2" customFormat="1" ht="12.75">
      <c r="A80" s="121" t="s">
        <v>116</v>
      </c>
      <c r="B80" s="115"/>
      <c r="C80" s="115"/>
      <c r="D80" s="79">
        <v>172</v>
      </c>
      <c r="E80" s="79"/>
      <c r="F80" s="79">
        <f>ROUND((334/1936.27)*1000,0)</f>
        <v>172</v>
      </c>
      <c r="G80" s="79"/>
      <c r="H80" s="65">
        <v>131</v>
      </c>
      <c r="I80" s="79"/>
      <c r="J80" s="65">
        <v>189</v>
      </c>
      <c r="K80" s="79"/>
      <c r="L80" s="65">
        <v>240</v>
      </c>
      <c r="M80" s="79"/>
      <c r="N80" s="65">
        <v>264</v>
      </c>
      <c r="O80" s="79"/>
      <c r="P80" s="65">
        <v>185</v>
      </c>
      <c r="Q80" s="79"/>
      <c r="R80" s="65">
        <v>126</v>
      </c>
      <c r="S80" s="79"/>
      <c r="T80" s="65">
        <v>129</v>
      </c>
      <c r="U80" s="79"/>
      <c r="V80" s="65">
        <v>17</v>
      </c>
      <c r="W80" s="79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</row>
    <row r="81" spans="1:35" s="2" customFormat="1" ht="12.75">
      <c r="A81" s="114" t="s">
        <v>150</v>
      </c>
      <c r="B81" s="115"/>
      <c r="C81" s="115"/>
      <c r="D81" s="62">
        <f>SUM(D82:D85)</f>
        <v>2893</v>
      </c>
      <c r="E81" s="62">
        <f aca="true" t="shared" si="23" ref="E81:W81">SUM(E82:E85)</f>
        <v>31</v>
      </c>
      <c r="F81" s="62">
        <f t="shared" si="23"/>
        <v>3426</v>
      </c>
      <c r="G81" s="62">
        <f t="shared" si="23"/>
        <v>0</v>
      </c>
      <c r="H81" s="62">
        <f t="shared" si="23"/>
        <v>4582</v>
      </c>
      <c r="I81" s="62">
        <f t="shared" si="23"/>
        <v>39</v>
      </c>
      <c r="J81" s="62">
        <f t="shared" si="23"/>
        <v>3040</v>
      </c>
      <c r="K81" s="62">
        <f t="shared" si="23"/>
        <v>58</v>
      </c>
      <c r="L81" s="62">
        <f t="shared" si="23"/>
        <v>2303</v>
      </c>
      <c r="M81" s="62">
        <f t="shared" si="23"/>
        <v>720</v>
      </c>
      <c r="N81" s="62">
        <f t="shared" si="23"/>
        <v>2158</v>
      </c>
      <c r="O81" s="62">
        <f t="shared" si="23"/>
        <v>733</v>
      </c>
      <c r="P81" s="62">
        <f t="shared" si="23"/>
        <v>1942</v>
      </c>
      <c r="Q81" s="62">
        <f t="shared" si="23"/>
        <v>676</v>
      </c>
      <c r="R81" s="62">
        <f t="shared" si="23"/>
        <v>1583</v>
      </c>
      <c r="S81" s="62">
        <f t="shared" si="23"/>
        <v>655</v>
      </c>
      <c r="T81" s="62">
        <f t="shared" si="23"/>
        <v>1442</v>
      </c>
      <c r="U81" s="62">
        <f t="shared" si="23"/>
        <v>764</v>
      </c>
      <c r="V81" s="62">
        <f t="shared" si="23"/>
        <v>1704</v>
      </c>
      <c r="W81" s="62">
        <f t="shared" si="23"/>
        <v>740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</row>
    <row r="82" spans="1:35" s="2" customFormat="1" ht="12.75">
      <c r="A82" s="27"/>
      <c r="B82" s="21" t="s">
        <v>26</v>
      </c>
      <c r="D82" s="43">
        <f>323+103</f>
        <v>426</v>
      </c>
      <c r="E82" s="44">
        <v>31</v>
      </c>
      <c r="F82" s="52">
        <f>ROUND((1086/1936.27)*1000,0)+26</f>
        <v>587</v>
      </c>
      <c r="G82" s="45"/>
      <c r="H82" s="43">
        <f>834+77</f>
        <v>911</v>
      </c>
      <c r="I82" s="49">
        <f>ROUND((2000/1936.27),0)</f>
        <v>1</v>
      </c>
      <c r="J82" s="43">
        <v>551</v>
      </c>
      <c r="K82" s="49">
        <v>19</v>
      </c>
      <c r="L82" s="43">
        <v>722</v>
      </c>
      <c r="M82" s="49">
        <v>241</v>
      </c>
      <c r="N82" s="43">
        <v>695</v>
      </c>
      <c r="O82" s="49">
        <v>289</v>
      </c>
      <c r="P82" s="43">
        <v>352</v>
      </c>
      <c r="Q82" s="49">
        <v>30</v>
      </c>
      <c r="R82" s="43">
        <v>639</v>
      </c>
      <c r="S82" s="49">
        <v>255</v>
      </c>
      <c r="T82" s="43">
        <v>299</v>
      </c>
      <c r="U82" s="49">
        <v>38</v>
      </c>
      <c r="V82" s="43">
        <v>923</v>
      </c>
      <c r="W82" s="49">
        <v>415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</row>
    <row r="83" spans="1:35" s="2" customFormat="1" ht="12.75">
      <c r="A83" s="27"/>
      <c r="B83" s="21" t="s">
        <v>172</v>
      </c>
      <c r="D83" s="43"/>
      <c r="E83" s="44"/>
      <c r="F83" s="52"/>
      <c r="G83" s="45"/>
      <c r="H83" s="43"/>
      <c r="I83" s="45"/>
      <c r="J83" s="43"/>
      <c r="K83" s="45"/>
      <c r="L83" s="43">
        <v>209</v>
      </c>
      <c r="M83" s="45">
        <v>115</v>
      </c>
      <c r="N83" s="43">
        <v>374</v>
      </c>
      <c r="O83" s="45">
        <v>274</v>
      </c>
      <c r="P83" s="43">
        <v>343</v>
      </c>
      <c r="Q83" s="45">
        <v>268</v>
      </c>
      <c r="R83" s="43">
        <v>139</v>
      </c>
      <c r="S83" s="45">
        <v>139</v>
      </c>
      <c r="T83" s="43"/>
      <c r="U83" s="45"/>
      <c r="V83" s="43">
        <v>40</v>
      </c>
      <c r="W83" s="45">
        <v>40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</row>
    <row r="84" spans="1:35" s="2" customFormat="1" ht="12.75">
      <c r="A84" s="27"/>
      <c r="B84" s="21" t="s">
        <v>173</v>
      </c>
      <c r="D84" s="43"/>
      <c r="E84" s="44"/>
      <c r="F84" s="52"/>
      <c r="G84" s="45"/>
      <c r="H84" s="43"/>
      <c r="I84" s="45"/>
      <c r="J84" s="43"/>
      <c r="K84" s="45"/>
      <c r="L84" s="43">
        <v>671</v>
      </c>
      <c r="M84" s="45">
        <v>308</v>
      </c>
      <c r="N84" s="43">
        <v>569</v>
      </c>
      <c r="O84" s="45">
        <v>147</v>
      </c>
      <c r="P84" s="43">
        <v>597</v>
      </c>
      <c r="Q84" s="45">
        <v>251</v>
      </c>
      <c r="R84" s="43">
        <v>404</v>
      </c>
      <c r="S84" s="45">
        <v>207</v>
      </c>
      <c r="T84" s="43">
        <v>675</v>
      </c>
      <c r="U84" s="45">
        <v>574</v>
      </c>
      <c r="V84" s="43">
        <v>244</v>
      </c>
      <c r="W84" s="45">
        <v>238</v>
      </c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</row>
    <row r="85" spans="1:35" s="2" customFormat="1" ht="12.75">
      <c r="A85" s="27"/>
      <c r="B85" s="21" t="s">
        <v>170</v>
      </c>
      <c r="C85" s="21"/>
      <c r="D85" s="43">
        <f>2169+298</f>
        <v>2467</v>
      </c>
      <c r="E85" s="44"/>
      <c r="F85" s="52">
        <f>2576+263</f>
        <v>2839</v>
      </c>
      <c r="G85" s="45"/>
      <c r="H85" s="43">
        <f>2654+1017</f>
        <v>3671</v>
      </c>
      <c r="I85" s="45">
        <v>38</v>
      </c>
      <c r="J85" s="43">
        <v>2489</v>
      </c>
      <c r="K85" s="45">
        <v>39</v>
      </c>
      <c r="L85" s="43">
        <v>701</v>
      </c>
      <c r="M85" s="45">
        <v>56</v>
      </c>
      <c r="N85" s="43">
        <v>520</v>
      </c>
      <c r="O85" s="45">
        <v>23</v>
      </c>
      <c r="P85" s="43">
        <v>650</v>
      </c>
      <c r="Q85" s="45">
        <v>127</v>
      </c>
      <c r="R85" s="43">
        <v>401</v>
      </c>
      <c r="S85" s="45">
        <v>54</v>
      </c>
      <c r="T85" s="43">
        <v>468</v>
      </c>
      <c r="U85" s="45">
        <v>152</v>
      </c>
      <c r="V85" s="43">
        <v>497</v>
      </c>
      <c r="W85" s="45">
        <v>47</v>
      </c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</row>
    <row r="86" spans="1:35" s="2" customFormat="1" ht="12.75">
      <c r="A86" s="121" t="s">
        <v>151</v>
      </c>
      <c r="B86" s="115"/>
      <c r="C86" s="115"/>
      <c r="D86" s="62">
        <f aca="true" t="shared" si="24" ref="D86:S86">SUM(D87:D93)</f>
        <v>2732</v>
      </c>
      <c r="E86" s="62">
        <f t="shared" si="24"/>
        <v>795</v>
      </c>
      <c r="F86" s="62">
        <f t="shared" si="24"/>
        <v>3356</v>
      </c>
      <c r="G86" s="62">
        <f t="shared" si="24"/>
        <v>1192</v>
      </c>
      <c r="H86" s="62">
        <f t="shared" si="24"/>
        <v>4210</v>
      </c>
      <c r="I86" s="62">
        <f t="shared" si="24"/>
        <v>1235</v>
      </c>
      <c r="J86" s="62">
        <f t="shared" si="24"/>
        <v>5860</v>
      </c>
      <c r="K86" s="62">
        <f t="shared" si="24"/>
        <v>1571</v>
      </c>
      <c r="L86" s="62">
        <f t="shared" si="24"/>
        <v>3852</v>
      </c>
      <c r="M86" s="62">
        <f t="shared" si="24"/>
        <v>407</v>
      </c>
      <c r="N86" s="62">
        <f t="shared" si="24"/>
        <v>2573</v>
      </c>
      <c r="O86" s="62">
        <f t="shared" si="24"/>
        <v>649</v>
      </c>
      <c r="P86" s="62">
        <f t="shared" si="24"/>
        <v>2511</v>
      </c>
      <c r="Q86" s="62">
        <f t="shared" si="24"/>
        <v>820</v>
      </c>
      <c r="R86" s="62">
        <f t="shared" si="24"/>
        <v>1164</v>
      </c>
      <c r="S86" s="62">
        <f t="shared" si="24"/>
        <v>840</v>
      </c>
      <c r="T86" s="62">
        <f>SUM(T87:T93)</f>
        <v>2262</v>
      </c>
      <c r="U86" s="62">
        <f>SUM(U87:U93)</f>
        <v>1466</v>
      </c>
      <c r="V86" s="62">
        <f>SUM(V87:V93)</f>
        <v>2446</v>
      </c>
      <c r="W86" s="62">
        <f>SUM(W87:W93)</f>
        <v>1691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</row>
    <row r="87" spans="1:35" s="2" customFormat="1" ht="12.75">
      <c r="A87" s="27"/>
      <c r="B87" s="21" t="s">
        <v>26</v>
      </c>
      <c r="D87" s="43">
        <v>221</v>
      </c>
      <c r="E87" s="44">
        <v>38</v>
      </c>
      <c r="F87" s="52">
        <f>ROUND((1367/1936.27)*1000,0)</f>
        <v>706</v>
      </c>
      <c r="G87" s="49">
        <f>ROUND(361500/1936.27,0)</f>
        <v>187</v>
      </c>
      <c r="H87" s="49">
        <v>399</v>
      </c>
      <c r="I87" s="49">
        <f>ROUND((107600/1936.27),0)</f>
        <v>56</v>
      </c>
      <c r="J87" s="49">
        <v>257</v>
      </c>
      <c r="K87" s="49">
        <v>23</v>
      </c>
      <c r="L87" s="49">
        <v>137</v>
      </c>
      <c r="M87" s="49">
        <v>38</v>
      </c>
      <c r="N87" s="49">
        <v>138</v>
      </c>
      <c r="O87" s="49">
        <v>28</v>
      </c>
      <c r="P87" s="49">
        <v>96</v>
      </c>
      <c r="Q87" s="49">
        <v>48</v>
      </c>
      <c r="R87" s="49">
        <v>74</v>
      </c>
      <c r="S87" s="49">
        <v>20</v>
      </c>
      <c r="T87" s="49">
        <v>86</v>
      </c>
      <c r="U87" s="49">
        <v>53</v>
      </c>
      <c r="V87" s="49">
        <v>66</v>
      </c>
      <c r="W87" s="49">
        <v>45</v>
      </c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</row>
    <row r="88" spans="1:35" s="2" customFormat="1" ht="12.75">
      <c r="A88" s="27"/>
      <c r="B88" s="22" t="s">
        <v>64</v>
      </c>
      <c r="D88" s="43">
        <f>875-ROUND(17973/1936.27,0)</f>
        <v>866</v>
      </c>
      <c r="E88" s="44">
        <v>117</v>
      </c>
      <c r="F88" s="52">
        <f>ROUND((1634/1936.27)*1000,0)</f>
        <v>844</v>
      </c>
      <c r="G88" s="49">
        <f>ROUND(292090/1936.27,0)</f>
        <v>151</v>
      </c>
      <c r="H88" s="49">
        <v>888</v>
      </c>
      <c r="I88" s="49">
        <f>ROUND((300000/1936.27),0)</f>
        <v>155</v>
      </c>
      <c r="J88" s="49">
        <v>2475</v>
      </c>
      <c r="K88" s="49">
        <v>804</v>
      </c>
      <c r="L88" s="49">
        <v>1395</v>
      </c>
      <c r="M88" s="49">
        <v>127</v>
      </c>
      <c r="N88" s="49">
        <v>1466</v>
      </c>
      <c r="O88" s="49">
        <v>412</v>
      </c>
      <c r="P88" s="49">
        <v>1459</v>
      </c>
      <c r="Q88" s="49">
        <v>495</v>
      </c>
      <c r="R88" s="49">
        <v>652</v>
      </c>
      <c r="S88" s="49">
        <v>550</v>
      </c>
      <c r="T88" s="49">
        <v>1208</v>
      </c>
      <c r="U88" s="49">
        <v>706</v>
      </c>
      <c r="V88" s="49">
        <v>1215</v>
      </c>
      <c r="W88" s="49">
        <v>978</v>
      </c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</row>
    <row r="89" spans="1:35" s="2" customFormat="1" ht="12.75">
      <c r="A89" s="27"/>
      <c r="B89" s="21" t="s">
        <v>73</v>
      </c>
      <c r="D89" s="43">
        <f>596-ROUND((87000+650000)/1936.27,0)</f>
        <v>215</v>
      </c>
      <c r="E89" s="44">
        <f>59-45</f>
        <v>14</v>
      </c>
      <c r="F89" s="52">
        <f>ROUND((368/1936.27)*1000,0)</f>
        <v>190</v>
      </c>
      <c r="G89" s="49">
        <f>ROUND(23000/1936.27,0)</f>
        <v>12</v>
      </c>
      <c r="H89" s="49">
        <v>203</v>
      </c>
      <c r="I89" s="49"/>
      <c r="J89" s="49">
        <v>116</v>
      </c>
      <c r="K89" s="49"/>
      <c r="L89" s="49">
        <v>214</v>
      </c>
      <c r="M89" s="49">
        <v>67</v>
      </c>
      <c r="N89" s="49">
        <v>97</v>
      </c>
      <c r="O89" s="49">
        <v>5</v>
      </c>
      <c r="P89" s="49">
        <v>86</v>
      </c>
      <c r="Q89" s="49"/>
      <c r="R89" s="49">
        <v>31</v>
      </c>
      <c r="S89" s="49">
        <v>24</v>
      </c>
      <c r="T89" s="49">
        <v>141</v>
      </c>
      <c r="U89" s="49">
        <v>93</v>
      </c>
      <c r="V89" s="49">
        <v>474</v>
      </c>
      <c r="W89" s="49">
        <v>322</v>
      </c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</row>
    <row r="90" spans="1:35" s="2" customFormat="1" ht="12.75">
      <c r="A90" s="27"/>
      <c r="B90" s="21" t="s">
        <v>74</v>
      </c>
      <c r="D90" s="43">
        <f>+ROUND((18000+87000+650000)/1936.27,0)</f>
        <v>390</v>
      </c>
      <c r="E90" s="44">
        <v>45</v>
      </c>
      <c r="F90" s="52">
        <f>ROUND((2213/1936.27)*1000,0)</f>
        <v>1143</v>
      </c>
      <c r="G90" s="49">
        <f>ROUND(1536207/1936.27,0)</f>
        <v>793</v>
      </c>
      <c r="H90" s="49">
        <v>2275</v>
      </c>
      <c r="I90" s="49">
        <f>ROUND((1948733/1936.27),0)</f>
        <v>1006</v>
      </c>
      <c r="J90" s="49">
        <v>2293</v>
      </c>
      <c r="K90" s="49">
        <v>736</v>
      </c>
      <c r="L90" s="49">
        <v>1280</v>
      </c>
      <c r="M90" s="49">
        <v>100</v>
      </c>
      <c r="N90" s="49">
        <v>203</v>
      </c>
      <c r="O90" s="49">
        <v>178</v>
      </c>
      <c r="P90" s="49">
        <v>238</v>
      </c>
      <c r="Q90" s="49">
        <v>216</v>
      </c>
      <c r="R90" s="49">
        <v>212</v>
      </c>
      <c r="S90" s="49">
        <v>190</v>
      </c>
      <c r="T90" s="49">
        <v>202</v>
      </c>
      <c r="U90" s="49">
        <v>179</v>
      </c>
      <c r="V90" s="49">
        <v>232</v>
      </c>
      <c r="W90" s="49">
        <v>190</v>
      </c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</row>
    <row r="91" spans="1:35" s="2" customFormat="1" ht="12.75">
      <c r="A91" s="27"/>
      <c r="B91" s="21" t="s">
        <v>80</v>
      </c>
      <c r="D91" s="43">
        <v>467</v>
      </c>
      <c r="E91" s="44">
        <v>65</v>
      </c>
      <c r="F91" s="52">
        <f>ROUND((916/1936.27)*1000,0)</f>
        <v>473</v>
      </c>
      <c r="G91" s="49">
        <f>ROUND(94889/1936.27,0)</f>
        <v>49</v>
      </c>
      <c r="H91" s="49">
        <v>445</v>
      </c>
      <c r="I91" s="49">
        <f>ROUND((34765/1936.27),0)</f>
        <v>18</v>
      </c>
      <c r="J91" s="49">
        <v>719</v>
      </c>
      <c r="K91" s="49">
        <v>8</v>
      </c>
      <c r="L91" s="49">
        <v>677</v>
      </c>
      <c r="M91" s="49">
        <v>8</v>
      </c>
      <c r="N91" s="49">
        <v>565</v>
      </c>
      <c r="O91" s="49">
        <v>8</v>
      </c>
      <c r="P91" s="49">
        <v>491</v>
      </c>
      <c r="Q91" s="49">
        <v>6</v>
      </c>
      <c r="R91" s="49">
        <v>113</v>
      </c>
      <c r="S91" s="49">
        <v>6</v>
      </c>
      <c r="T91" s="49">
        <v>176</v>
      </c>
      <c r="U91" s="49">
        <v>6</v>
      </c>
      <c r="V91" s="49">
        <v>198</v>
      </c>
      <c r="W91" s="49">
        <v>6</v>
      </c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5" s="2" customFormat="1" ht="12.75">
      <c r="A92" s="27"/>
      <c r="B92" s="21" t="s">
        <v>152</v>
      </c>
      <c r="D92" s="43"/>
      <c r="E92" s="44"/>
      <c r="F92" s="52"/>
      <c r="G92" s="49"/>
      <c r="H92" s="49"/>
      <c r="I92" s="49"/>
      <c r="J92" s="49"/>
      <c r="K92" s="49"/>
      <c r="L92" s="49">
        <v>149</v>
      </c>
      <c r="M92" s="49">
        <v>67</v>
      </c>
      <c r="N92" s="49">
        <v>104</v>
      </c>
      <c r="O92" s="49">
        <v>18</v>
      </c>
      <c r="P92" s="49">
        <v>141</v>
      </c>
      <c r="Q92" s="49">
        <v>55</v>
      </c>
      <c r="R92" s="49">
        <v>82</v>
      </c>
      <c r="S92" s="49">
        <v>50</v>
      </c>
      <c r="T92" s="49">
        <v>449</v>
      </c>
      <c r="U92" s="49">
        <v>429</v>
      </c>
      <c r="V92" s="49">
        <v>261</v>
      </c>
      <c r="W92" s="49">
        <v>150</v>
      </c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</row>
    <row r="93" spans="1:35" s="2" customFormat="1" ht="12.75">
      <c r="A93" s="34"/>
      <c r="B93" s="54" t="s">
        <v>65</v>
      </c>
      <c r="C93" s="37"/>
      <c r="D93" s="97">
        <f>573</f>
        <v>573</v>
      </c>
      <c r="E93" s="98">
        <v>516</v>
      </c>
      <c r="F93" s="99">
        <v>0</v>
      </c>
      <c r="G93" s="55"/>
      <c r="H93" s="55">
        <v>0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</row>
    <row r="94" spans="1:35" s="2" customFormat="1" ht="12.75">
      <c r="A94" s="121" t="s">
        <v>124</v>
      </c>
      <c r="B94" s="115"/>
      <c r="C94" s="115"/>
      <c r="D94" s="62">
        <f aca="true" t="shared" si="25" ref="D94:S94">SUM(D95:D110)</f>
        <v>16143</v>
      </c>
      <c r="E94" s="62">
        <f t="shared" si="25"/>
        <v>7319</v>
      </c>
      <c r="F94" s="62">
        <f t="shared" si="25"/>
        <v>14672</v>
      </c>
      <c r="G94" s="62">
        <f t="shared" si="25"/>
        <v>3888</v>
      </c>
      <c r="H94" s="62">
        <f t="shared" si="25"/>
        <v>11558</v>
      </c>
      <c r="I94" s="62">
        <f t="shared" si="25"/>
        <v>1616</v>
      </c>
      <c r="J94" s="62">
        <f t="shared" si="25"/>
        <v>10914</v>
      </c>
      <c r="K94" s="62">
        <f t="shared" si="25"/>
        <v>562</v>
      </c>
      <c r="L94" s="62">
        <f t="shared" si="25"/>
        <v>14794</v>
      </c>
      <c r="M94" s="62">
        <f t="shared" si="25"/>
        <v>2105</v>
      </c>
      <c r="N94" s="62">
        <f t="shared" si="25"/>
        <v>14290</v>
      </c>
      <c r="O94" s="62">
        <f t="shared" si="25"/>
        <v>1684</v>
      </c>
      <c r="P94" s="62">
        <f t="shared" si="25"/>
        <v>13591</v>
      </c>
      <c r="Q94" s="62">
        <f t="shared" si="25"/>
        <v>1968</v>
      </c>
      <c r="R94" s="62">
        <f t="shared" si="25"/>
        <v>9239</v>
      </c>
      <c r="S94" s="62">
        <f t="shared" si="25"/>
        <v>1117</v>
      </c>
      <c r="T94" s="62">
        <f>SUM(T95:T110)</f>
        <v>9641</v>
      </c>
      <c r="U94" s="62">
        <f>SUM(U95:U110)</f>
        <v>1343</v>
      </c>
      <c r="V94" s="62">
        <f>SUM(V95:V110)</f>
        <v>10189</v>
      </c>
      <c r="W94" s="62">
        <f>SUM(W95:W110)</f>
        <v>1525</v>
      </c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</row>
    <row r="95" spans="1:35" s="2" customFormat="1" ht="12.75">
      <c r="A95" s="27"/>
      <c r="B95" s="22" t="s">
        <v>7</v>
      </c>
      <c r="D95" s="43">
        <v>694</v>
      </c>
      <c r="E95" s="44">
        <v>525</v>
      </c>
      <c r="F95" s="52">
        <f>ROUND((843/1936.27)*1000,0)</f>
        <v>435</v>
      </c>
      <c r="G95" s="45">
        <f>ROUND(329000/1936.27,0)</f>
        <v>170</v>
      </c>
      <c r="H95" s="43">
        <v>1846</v>
      </c>
      <c r="I95" s="49">
        <f>ROUND((3015000/1936.27),0)</f>
        <v>1557</v>
      </c>
      <c r="J95" s="43">
        <v>113</v>
      </c>
      <c r="K95" s="49"/>
      <c r="L95" s="43">
        <v>191</v>
      </c>
      <c r="M95" s="49"/>
      <c r="N95" s="43">
        <v>126</v>
      </c>
      <c r="O95" s="49"/>
      <c r="P95" s="43">
        <v>122</v>
      </c>
      <c r="Q95" s="49"/>
      <c r="R95" s="43">
        <v>46</v>
      </c>
      <c r="S95" s="49"/>
      <c r="T95" s="43">
        <v>53</v>
      </c>
      <c r="U95" s="49">
        <v>25</v>
      </c>
      <c r="V95" s="43">
        <v>37</v>
      </c>
      <c r="W95" s="49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</row>
    <row r="96" spans="1:35" s="2" customFormat="1" ht="12.75">
      <c r="A96" s="27"/>
      <c r="B96" s="22" t="s">
        <v>90</v>
      </c>
      <c r="D96" s="43">
        <v>805</v>
      </c>
      <c r="E96" s="44"/>
      <c r="F96" s="52">
        <f>ROUND((674/1936.27)*1000,0)</f>
        <v>348</v>
      </c>
      <c r="G96" s="45"/>
      <c r="H96" s="43">
        <v>1310</v>
      </c>
      <c r="I96" s="49"/>
      <c r="J96" s="43">
        <v>1943</v>
      </c>
      <c r="K96" s="49">
        <v>87</v>
      </c>
      <c r="L96" s="43">
        <v>3609</v>
      </c>
      <c r="M96" s="49">
        <v>833</v>
      </c>
      <c r="N96" s="43">
        <v>3222</v>
      </c>
      <c r="O96" s="49">
        <v>648</v>
      </c>
      <c r="P96" s="43">
        <v>2316</v>
      </c>
      <c r="Q96" s="49">
        <v>855</v>
      </c>
      <c r="R96" s="43">
        <v>1198</v>
      </c>
      <c r="S96" s="49">
        <v>415</v>
      </c>
      <c r="T96" s="43">
        <v>1286</v>
      </c>
      <c r="U96" s="49">
        <v>556</v>
      </c>
      <c r="V96" s="43">
        <v>1241</v>
      </c>
      <c r="W96" s="49">
        <v>589</v>
      </c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</row>
    <row r="97" spans="1:35" s="2" customFormat="1" ht="12.75">
      <c r="A97" s="27"/>
      <c r="B97" s="22" t="s">
        <v>75</v>
      </c>
      <c r="D97" s="43">
        <v>7165</v>
      </c>
      <c r="E97" s="44">
        <v>6714</v>
      </c>
      <c r="F97" s="52">
        <f>ROUND((11149/1936.27)*1000,0)</f>
        <v>5758</v>
      </c>
      <c r="G97" s="45">
        <v>3615</v>
      </c>
      <c r="H97" s="43">
        <v>0</v>
      </c>
      <c r="I97" s="49"/>
      <c r="J97" s="43">
        <v>270</v>
      </c>
      <c r="K97" s="49">
        <v>270</v>
      </c>
      <c r="L97" s="43">
        <v>59</v>
      </c>
      <c r="M97" s="49">
        <v>59</v>
      </c>
      <c r="N97" s="43"/>
      <c r="O97" s="49"/>
      <c r="P97" s="43"/>
      <c r="Q97" s="49"/>
      <c r="R97" s="43"/>
      <c r="S97" s="49"/>
      <c r="T97" s="43"/>
      <c r="U97" s="49"/>
      <c r="V97" s="43"/>
      <c r="W97" s="49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</row>
    <row r="98" spans="1:35" s="2" customFormat="1" ht="12.75">
      <c r="A98" s="27"/>
      <c r="B98" s="22" t="s">
        <v>48</v>
      </c>
      <c r="D98" s="43">
        <v>3001</v>
      </c>
      <c r="E98" s="44"/>
      <c r="F98" s="52">
        <f>ROUND((6431/1936.27)*1000,0)</f>
        <v>3321</v>
      </c>
      <c r="G98" s="45"/>
      <c r="H98" s="43">
        <v>2893</v>
      </c>
      <c r="I98" s="49"/>
      <c r="J98" s="43">
        <v>2680</v>
      </c>
      <c r="K98" s="49"/>
      <c r="L98" s="43">
        <v>2879</v>
      </c>
      <c r="M98" s="49">
        <v>8</v>
      </c>
      <c r="N98" s="43">
        <v>2890</v>
      </c>
      <c r="O98" s="49">
        <v>19</v>
      </c>
      <c r="P98" s="43">
        <v>3144</v>
      </c>
      <c r="Q98" s="49">
        <v>46</v>
      </c>
      <c r="R98" s="43">
        <v>2814</v>
      </c>
      <c r="S98" s="49">
        <v>3</v>
      </c>
      <c r="T98" s="43">
        <v>3406</v>
      </c>
      <c r="U98" s="49">
        <v>250</v>
      </c>
      <c r="V98" s="43">
        <v>3493</v>
      </c>
      <c r="W98" s="49">
        <v>294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</row>
    <row r="99" spans="1:35" s="2" customFormat="1" ht="12.75">
      <c r="A99" s="27"/>
      <c r="B99" s="22" t="s">
        <v>17</v>
      </c>
      <c r="D99" s="43">
        <v>728</v>
      </c>
      <c r="E99" s="44">
        <v>3</v>
      </c>
      <c r="F99" s="52">
        <f>ROUND((1670/1936.27)*1000,0)</f>
        <v>862</v>
      </c>
      <c r="G99" s="45">
        <f>+ROUND(4319/1936.27,0)</f>
        <v>2</v>
      </c>
      <c r="H99" s="43">
        <v>757</v>
      </c>
      <c r="I99" s="49">
        <v>2</v>
      </c>
      <c r="J99" s="43">
        <v>783</v>
      </c>
      <c r="K99" s="49">
        <v>58</v>
      </c>
      <c r="L99" s="43">
        <v>658</v>
      </c>
      <c r="M99" s="49">
        <v>102</v>
      </c>
      <c r="N99" s="43">
        <v>712</v>
      </c>
      <c r="O99" s="49">
        <v>120</v>
      </c>
      <c r="P99" s="43">
        <v>578</v>
      </c>
      <c r="Q99" s="49">
        <v>28</v>
      </c>
      <c r="R99" s="43">
        <v>386</v>
      </c>
      <c r="S99" s="49">
        <v>149</v>
      </c>
      <c r="T99" s="43">
        <v>320</v>
      </c>
      <c r="U99" s="49">
        <v>65</v>
      </c>
      <c r="V99" s="43">
        <v>505</v>
      </c>
      <c r="W99" s="49">
        <v>195</v>
      </c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</row>
    <row r="100" spans="1:35" s="2" customFormat="1" ht="12.75">
      <c r="A100" s="27"/>
      <c r="B100" s="22" t="s">
        <v>119</v>
      </c>
      <c r="D100" s="43"/>
      <c r="E100" s="44"/>
      <c r="F100" s="52"/>
      <c r="G100" s="45"/>
      <c r="H100" s="43"/>
      <c r="I100" s="49"/>
      <c r="J100" s="43">
        <v>76</v>
      </c>
      <c r="K100" s="49"/>
      <c r="L100" s="43">
        <v>736</v>
      </c>
      <c r="M100" s="49">
        <v>607</v>
      </c>
      <c r="N100" s="43">
        <v>451</v>
      </c>
      <c r="O100" s="49">
        <v>36</v>
      </c>
      <c r="P100" s="43">
        <v>359</v>
      </c>
      <c r="Q100" s="49">
        <v>7</v>
      </c>
      <c r="R100" s="43">
        <v>172</v>
      </c>
      <c r="S100" s="49">
        <v>20</v>
      </c>
      <c r="T100" s="43">
        <v>151</v>
      </c>
      <c r="U100" s="49">
        <v>56</v>
      </c>
      <c r="V100" s="43">
        <v>192</v>
      </c>
      <c r="W100" s="49">
        <v>53</v>
      </c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</row>
    <row r="101" spans="1:35" s="2" customFormat="1" ht="12.75">
      <c r="A101" s="27"/>
      <c r="B101" s="22" t="s">
        <v>76</v>
      </c>
      <c r="D101" s="43">
        <v>588</v>
      </c>
      <c r="E101" s="44"/>
      <c r="F101" s="52">
        <f>ROUND((1278/1936.27)*1000,0)</f>
        <v>660</v>
      </c>
      <c r="G101" s="45"/>
      <c r="H101" s="43">
        <v>1082</v>
      </c>
      <c r="I101" s="49"/>
      <c r="J101" s="43">
        <v>1509</v>
      </c>
      <c r="K101" s="49"/>
      <c r="L101" s="43">
        <v>2501</v>
      </c>
      <c r="M101" s="49">
        <v>70</v>
      </c>
      <c r="N101" s="43">
        <v>2072</v>
      </c>
      <c r="O101" s="49">
        <v>9</v>
      </c>
      <c r="P101" s="43">
        <v>2324</v>
      </c>
      <c r="Q101" s="49">
        <v>125</v>
      </c>
      <c r="R101" s="43">
        <v>1905</v>
      </c>
      <c r="S101" s="49">
        <v>15</v>
      </c>
      <c r="T101" s="43">
        <v>1988</v>
      </c>
      <c r="U101" s="49">
        <v>102</v>
      </c>
      <c r="V101" s="43">
        <v>2096</v>
      </c>
      <c r="W101" s="49">
        <v>24</v>
      </c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</row>
    <row r="102" spans="1:35" s="2" customFormat="1" ht="12.75">
      <c r="A102" s="27"/>
      <c r="B102" s="22" t="s">
        <v>18</v>
      </c>
      <c r="D102" s="43">
        <v>410</v>
      </c>
      <c r="E102" s="44"/>
      <c r="F102" s="52">
        <f>ROUND((748/1936.27)*1000,0)</f>
        <v>386</v>
      </c>
      <c r="G102" s="45"/>
      <c r="H102" s="43">
        <v>457</v>
      </c>
      <c r="I102" s="49"/>
      <c r="J102" s="43">
        <v>454</v>
      </c>
      <c r="K102" s="49">
        <v>27</v>
      </c>
      <c r="L102" s="43">
        <v>451</v>
      </c>
      <c r="M102" s="49">
        <v>30</v>
      </c>
      <c r="N102" s="43">
        <v>454</v>
      </c>
      <c r="O102" s="49">
        <v>175</v>
      </c>
      <c r="P102" s="43">
        <v>316</v>
      </c>
      <c r="Q102" s="49">
        <v>22</v>
      </c>
      <c r="R102" s="43">
        <v>238</v>
      </c>
      <c r="S102" s="49">
        <v>79</v>
      </c>
      <c r="T102" s="43">
        <v>215</v>
      </c>
      <c r="U102" s="49">
        <v>76</v>
      </c>
      <c r="V102" s="43">
        <v>279</v>
      </c>
      <c r="W102" s="49">
        <v>71</v>
      </c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</row>
    <row r="103" spans="1:35" s="2" customFormat="1" ht="12.75">
      <c r="A103" s="27"/>
      <c r="B103" s="22" t="s">
        <v>19</v>
      </c>
      <c r="D103" s="43">
        <v>617</v>
      </c>
      <c r="E103" s="44"/>
      <c r="F103" s="52">
        <f>ROUND((1194/1936.27)*1000,0)</f>
        <v>617</v>
      </c>
      <c r="G103" s="45"/>
      <c r="H103" s="43">
        <v>746</v>
      </c>
      <c r="I103" s="49"/>
      <c r="J103" s="43">
        <v>650</v>
      </c>
      <c r="K103" s="49">
        <v>4</v>
      </c>
      <c r="L103" s="43">
        <v>620</v>
      </c>
      <c r="M103" s="49">
        <v>14</v>
      </c>
      <c r="N103" s="43">
        <v>588</v>
      </c>
      <c r="O103" s="49">
        <v>100</v>
      </c>
      <c r="P103" s="43">
        <v>771</v>
      </c>
      <c r="Q103" s="49">
        <v>213</v>
      </c>
      <c r="R103" s="43">
        <v>357</v>
      </c>
      <c r="S103" s="49">
        <v>29</v>
      </c>
      <c r="T103" s="43">
        <v>238</v>
      </c>
      <c r="U103" s="49">
        <v>26</v>
      </c>
      <c r="V103" s="43">
        <v>311</v>
      </c>
      <c r="W103" s="49">
        <v>19</v>
      </c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</row>
    <row r="104" spans="1:35" s="2" customFormat="1" ht="12.75">
      <c r="A104" s="27"/>
      <c r="B104" s="22" t="s">
        <v>20</v>
      </c>
      <c r="D104" s="43">
        <v>491</v>
      </c>
      <c r="E104" s="44"/>
      <c r="F104" s="52">
        <f>ROUND((961/1936.27)*1000,0)</f>
        <v>496</v>
      </c>
      <c r="G104" s="45"/>
      <c r="H104" s="43">
        <v>491</v>
      </c>
      <c r="I104" s="49"/>
      <c r="J104" s="43">
        <f>497+53</f>
        <v>550</v>
      </c>
      <c r="K104" s="49"/>
      <c r="L104" s="43">
        <f>647+44</f>
        <v>691</v>
      </c>
      <c r="M104" s="49">
        <v>50</v>
      </c>
      <c r="N104" s="43">
        <f>861+31</f>
        <v>892</v>
      </c>
      <c r="O104" s="49">
        <v>50</v>
      </c>
      <c r="P104" s="43">
        <v>1075</v>
      </c>
      <c r="Q104" s="49">
        <v>330</v>
      </c>
      <c r="R104" s="43">
        <v>390</v>
      </c>
      <c r="S104" s="49">
        <v>10</v>
      </c>
      <c r="T104" s="43">
        <v>380</v>
      </c>
      <c r="U104" s="49"/>
      <c r="V104" s="43">
        <v>372</v>
      </c>
      <c r="W104" s="49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</row>
    <row r="105" spans="1:35" s="2" customFormat="1" ht="12.75">
      <c r="A105" s="27"/>
      <c r="B105" s="22" t="s">
        <v>21</v>
      </c>
      <c r="D105" s="43">
        <v>1136</v>
      </c>
      <c r="E105" s="44"/>
      <c r="F105" s="52">
        <f>ROUND((2195/1936.27)*1000,0)</f>
        <v>1134</v>
      </c>
      <c r="G105" s="45"/>
      <c r="H105" s="43">
        <v>1134</v>
      </c>
      <c r="I105" s="49"/>
      <c r="J105" s="43">
        <v>1053</v>
      </c>
      <c r="K105" s="49"/>
      <c r="L105" s="43">
        <v>1144</v>
      </c>
      <c r="M105" s="49"/>
      <c r="N105" s="43">
        <v>1341</v>
      </c>
      <c r="O105" s="49"/>
      <c r="P105" s="43">
        <v>1310</v>
      </c>
      <c r="Q105" s="49">
        <v>160</v>
      </c>
      <c r="R105" s="43">
        <v>620</v>
      </c>
      <c r="S105" s="49"/>
      <c r="T105" s="43">
        <v>809</v>
      </c>
      <c r="U105" s="49"/>
      <c r="V105" s="43">
        <v>773</v>
      </c>
      <c r="W105" s="49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</row>
    <row r="106" spans="1:35" s="2" customFormat="1" ht="12.75">
      <c r="A106" s="27"/>
      <c r="B106" s="22" t="s">
        <v>22</v>
      </c>
      <c r="D106" s="43">
        <v>174</v>
      </c>
      <c r="E106" s="44">
        <v>77</v>
      </c>
      <c r="F106" s="52">
        <f>ROUND((412/1936.27)*1000,0)</f>
        <v>213</v>
      </c>
      <c r="G106" s="45">
        <f>ROUND(195300/1936.27,0)</f>
        <v>101</v>
      </c>
      <c r="H106" s="43">
        <v>191</v>
      </c>
      <c r="I106" s="49">
        <f>ROUND((110000/1936.27),0)</f>
        <v>57</v>
      </c>
      <c r="J106" s="43">
        <v>215</v>
      </c>
      <c r="K106" s="49">
        <v>68</v>
      </c>
      <c r="L106" s="43">
        <v>209</v>
      </c>
      <c r="M106" s="49">
        <v>71</v>
      </c>
      <c r="N106" s="43">
        <v>217</v>
      </c>
      <c r="O106" s="49">
        <v>78</v>
      </c>
      <c r="P106" s="43">
        <v>275</v>
      </c>
      <c r="Q106" s="49">
        <v>117</v>
      </c>
      <c r="R106" s="43">
        <v>227</v>
      </c>
      <c r="S106" s="49">
        <v>153</v>
      </c>
      <c r="T106" s="43">
        <v>159</v>
      </c>
      <c r="U106" s="49">
        <v>100</v>
      </c>
      <c r="V106" s="43">
        <v>197</v>
      </c>
      <c r="W106" s="49">
        <v>137</v>
      </c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</row>
    <row r="107" spans="1:35" s="2" customFormat="1" ht="12.75">
      <c r="A107" s="27"/>
      <c r="B107" s="22" t="s">
        <v>23</v>
      </c>
      <c r="D107" s="43">
        <v>142</v>
      </c>
      <c r="E107" s="44"/>
      <c r="F107" s="52">
        <f>ROUND((411/1936.27)*1000,0)</f>
        <v>212</v>
      </c>
      <c r="G107" s="45"/>
      <c r="H107" s="43">
        <v>167</v>
      </c>
      <c r="I107" s="49"/>
      <c r="J107" s="43">
        <v>177</v>
      </c>
      <c r="K107" s="49"/>
      <c r="L107" s="43">
        <v>191</v>
      </c>
      <c r="M107" s="49"/>
      <c r="N107" s="43">
        <v>303</v>
      </c>
      <c r="O107" s="49"/>
      <c r="P107" s="43">
        <v>321</v>
      </c>
      <c r="Q107" s="49"/>
      <c r="R107" s="43">
        <v>298</v>
      </c>
      <c r="S107" s="49">
        <v>20</v>
      </c>
      <c r="T107" s="43">
        <v>298</v>
      </c>
      <c r="U107" s="49">
        <v>20</v>
      </c>
      <c r="V107" s="43">
        <v>323</v>
      </c>
      <c r="W107" s="49">
        <v>20</v>
      </c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</row>
    <row r="108" spans="1:35" s="2" customFormat="1" ht="12.75">
      <c r="A108" s="27"/>
      <c r="B108" s="22" t="s">
        <v>77</v>
      </c>
      <c r="D108" s="43"/>
      <c r="E108" s="44"/>
      <c r="F108" s="52"/>
      <c r="G108" s="45"/>
      <c r="H108" s="43">
        <v>79</v>
      </c>
      <c r="I108" s="49"/>
      <c r="J108" s="43">
        <v>248</v>
      </c>
      <c r="K108" s="49">
        <v>48</v>
      </c>
      <c r="L108" s="43">
        <v>284</v>
      </c>
      <c r="M108" s="49">
        <v>58</v>
      </c>
      <c r="N108" s="43">
        <v>512</v>
      </c>
      <c r="O108" s="49">
        <v>218</v>
      </c>
      <c r="P108" s="43">
        <v>418</v>
      </c>
      <c r="Q108" s="49">
        <v>65</v>
      </c>
      <c r="R108" s="43">
        <v>252</v>
      </c>
      <c r="S108" s="49">
        <v>12</v>
      </c>
      <c r="T108" s="43">
        <v>256</v>
      </c>
      <c r="U108" s="49">
        <v>43</v>
      </c>
      <c r="V108" s="43">
        <v>273</v>
      </c>
      <c r="W108" s="49">
        <v>48</v>
      </c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</row>
    <row r="109" spans="1:35" s="2" customFormat="1" ht="12.75">
      <c r="A109" s="27"/>
      <c r="B109" s="22" t="s">
        <v>78</v>
      </c>
      <c r="D109" s="43">
        <v>192</v>
      </c>
      <c r="E109" s="44"/>
      <c r="F109" s="52">
        <f>ROUND((405/1936.27)*1000,0)</f>
        <v>209</v>
      </c>
      <c r="G109" s="49"/>
      <c r="H109" s="45">
        <v>174</v>
      </c>
      <c r="I109" s="45"/>
      <c r="J109" s="49">
        <v>122</v>
      </c>
      <c r="K109" s="45"/>
      <c r="L109" s="49">
        <v>99</v>
      </c>
      <c r="M109" s="45"/>
      <c r="N109" s="45">
        <v>74</v>
      </c>
      <c r="O109" s="45">
        <v>20</v>
      </c>
      <c r="P109" s="45">
        <v>102</v>
      </c>
      <c r="Q109" s="45"/>
      <c r="R109" s="49">
        <v>74</v>
      </c>
      <c r="S109" s="45">
        <v>50</v>
      </c>
      <c r="T109" s="49">
        <v>5</v>
      </c>
      <c r="U109" s="45"/>
      <c r="V109" s="49">
        <v>22</v>
      </c>
      <c r="W109" s="45">
        <v>9</v>
      </c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</row>
    <row r="110" spans="1:35" s="2" customFormat="1" ht="12.75">
      <c r="A110" s="27"/>
      <c r="B110" s="22" t="s">
        <v>157</v>
      </c>
      <c r="D110" s="43"/>
      <c r="E110" s="44"/>
      <c r="F110" s="52">
        <v>21</v>
      </c>
      <c r="G110" s="49"/>
      <c r="H110" s="45">
        <v>231</v>
      </c>
      <c r="I110" s="45"/>
      <c r="J110" s="49">
        <v>71</v>
      </c>
      <c r="K110" s="45"/>
      <c r="L110" s="72">
        <v>472</v>
      </c>
      <c r="M110" s="45">
        <v>203</v>
      </c>
      <c r="N110" s="45">
        <v>436</v>
      </c>
      <c r="O110" s="45">
        <v>211</v>
      </c>
      <c r="P110" s="45">
        <v>160</v>
      </c>
      <c r="Q110" s="45"/>
      <c r="R110" s="49">
        <v>262</v>
      </c>
      <c r="S110" s="45">
        <v>162</v>
      </c>
      <c r="T110" s="49">
        <v>77</v>
      </c>
      <c r="U110" s="45">
        <v>24</v>
      </c>
      <c r="V110" s="49">
        <v>75</v>
      </c>
      <c r="W110" s="45">
        <v>66</v>
      </c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</row>
    <row r="111" spans="1:35" s="2" customFormat="1" ht="12.75">
      <c r="A111" s="114" t="s">
        <v>153</v>
      </c>
      <c r="B111" s="115"/>
      <c r="C111" s="115"/>
      <c r="D111" s="62">
        <f aca="true" t="shared" si="26" ref="D111:W111">SUM(D112:D115)</f>
        <v>3335</v>
      </c>
      <c r="E111" s="62">
        <f t="shared" si="26"/>
        <v>2561</v>
      </c>
      <c r="F111" s="62">
        <f t="shared" si="26"/>
        <v>2664</v>
      </c>
      <c r="G111" s="62">
        <f t="shared" si="26"/>
        <v>1425</v>
      </c>
      <c r="H111" s="62">
        <f t="shared" si="26"/>
        <v>3420</v>
      </c>
      <c r="I111" s="62">
        <f t="shared" si="26"/>
        <v>2772</v>
      </c>
      <c r="J111" s="62">
        <f t="shared" si="26"/>
        <v>3019</v>
      </c>
      <c r="K111" s="62">
        <f t="shared" si="26"/>
        <v>2088</v>
      </c>
      <c r="L111" s="62">
        <f t="shared" si="26"/>
        <v>3092</v>
      </c>
      <c r="M111" s="62">
        <f t="shared" si="26"/>
        <v>2461</v>
      </c>
      <c r="N111" s="62">
        <f t="shared" si="26"/>
        <v>870</v>
      </c>
      <c r="O111" s="62">
        <f t="shared" si="26"/>
        <v>87</v>
      </c>
      <c r="P111" s="62">
        <f t="shared" si="26"/>
        <v>2992</v>
      </c>
      <c r="Q111" s="62">
        <f t="shared" si="26"/>
        <v>2401</v>
      </c>
      <c r="R111" s="62">
        <f t="shared" si="26"/>
        <v>349</v>
      </c>
      <c r="S111" s="62">
        <f t="shared" si="26"/>
        <v>133</v>
      </c>
      <c r="T111" s="62">
        <f t="shared" si="26"/>
        <v>414</v>
      </c>
      <c r="U111" s="62">
        <f t="shared" si="26"/>
        <v>7</v>
      </c>
      <c r="V111" s="62">
        <f t="shared" si="26"/>
        <v>1290</v>
      </c>
      <c r="W111" s="62">
        <f t="shared" si="26"/>
        <v>1173</v>
      </c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</row>
    <row r="112" spans="1:35" s="2" customFormat="1" ht="12.75">
      <c r="A112" s="27"/>
      <c r="B112" s="10" t="s">
        <v>7</v>
      </c>
      <c r="D112" s="67">
        <v>427</v>
      </c>
      <c r="E112" s="80">
        <v>15</v>
      </c>
      <c r="F112" s="52">
        <f>ROUND((1066/1936.27)*1000,0)</f>
        <v>551</v>
      </c>
      <c r="G112" s="50">
        <f>ROUND(94145/1936.27,0)</f>
        <v>49</v>
      </c>
      <c r="H112" s="52">
        <v>491</v>
      </c>
      <c r="I112" s="52">
        <f>ROUND((77157/1936.27),0)</f>
        <v>40</v>
      </c>
      <c r="J112" s="52">
        <v>500</v>
      </c>
      <c r="K112" s="52"/>
      <c r="L112" s="52">
        <v>204</v>
      </c>
      <c r="M112" s="52"/>
      <c r="N112" s="52">
        <v>219</v>
      </c>
      <c r="O112" s="52"/>
      <c r="P112" s="52">
        <v>145</v>
      </c>
      <c r="Q112" s="52"/>
      <c r="R112" s="52">
        <v>43</v>
      </c>
      <c r="S112" s="52"/>
      <c r="T112" s="52">
        <v>63</v>
      </c>
      <c r="U112" s="52"/>
      <c r="V112" s="52">
        <v>41</v>
      </c>
      <c r="W112" s="52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</row>
    <row r="113" spans="1:35" s="2" customFormat="1" ht="12.75">
      <c r="A113" s="27"/>
      <c r="B113" s="22" t="s">
        <v>182</v>
      </c>
      <c r="D113" s="43">
        <v>2878</v>
      </c>
      <c r="E113" s="44">
        <v>2516</v>
      </c>
      <c r="F113" s="52">
        <f>ROUND((3709/1936.27)*1000,0)</f>
        <v>1916</v>
      </c>
      <c r="G113" s="45">
        <f>ROUND(2282348/1936.27,0)</f>
        <v>1179</v>
      </c>
      <c r="H113" s="49">
        <v>2896</v>
      </c>
      <c r="I113" s="49">
        <f>ROUND((5225459/1936.27),0)</f>
        <v>2699</v>
      </c>
      <c r="J113" s="49">
        <v>2155</v>
      </c>
      <c r="K113" s="49">
        <v>2087</v>
      </c>
      <c r="L113" s="49">
        <v>2516</v>
      </c>
      <c r="M113" s="49">
        <v>2460</v>
      </c>
      <c r="N113" s="49">
        <v>297</v>
      </c>
      <c r="O113" s="49">
        <v>86</v>
      </c>
      <c r="P113" s="49">
        <v>2541</v>
      </c>
      <c r="Q113" s="49">
        <v>2391</v>
      </c>
      <c r="R113" s="49">
        <v>145</v>
      </c>
      <c r="S113" s="49">
        <v>133</v>
      </c>
      <c r="T113" s="49">
        <v>5</v>
      </c>
      <c r="U113" s="49">
        <v>5</v>
      </c>
      <c r="V113" s="49">
        <v>1173</v>
      </c>
      <c r="W113" s="49">
        <v>1173</v>
      </c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</row>
    <row r="114" spans="1:35" s="2" customFormat="1" ht="12.75">
      <c r="A114" s="27"/>
      <c r="B114" s="22" t="s">
        <v>181</v>
      </c>
      <c r="D114" s="43">
        <v>30</v>
      </c>
      <c r="E114" s="44">
        <v>30</v>
      </c>
      <c r="F114" s="52">
        <f>ROUND((382/1936.27)*1000,0)</f>
        <v>197</v>
      </c>
      <c r="G114" s="45">
        <f>ROUND(381584/1936.27,0)</f>
        <v>197</v>
      </c>
      <c r="H114" s="49">
        <v>15</v>
      </c>
      <c r="I114" s="49">
        <v>15</v>
      </c>
      <c r="J114" s="49">
        <v>260</v>
      </c>
      <c r="K114" s="49"/>
      <c r="L114" s="49">
        <v>319</v>
      </c>
      <c r="M114" s="49"/>
      <c r="N114" s="49">
        <v>337</v>
      </c>
      <c r="O114" s="49"/>
      <c r="P114" s="49">
        <v>280</v>
      </c>
      <c r="Q114" s="49">
        <v>10</v>
      </c>
      <c r="R114" s="49">
        <v>156</v>
      </c>
      <c r="S114" s="49"/>
      <c r="T114" s="49">
        <v>202</v>
      </c>
      <c r="U114" s="49"/>
      <c r="V114" s="49">
        <v>76</v>
      </c>
      <c r="W114" s="49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</row>
    <row r="115" spans="1:37" s="2" customFormat="1" ht="12.75">
      <c r="A115" s="27"/>
      <c r="B115" s="22" t="s">
        <v>183</v>
      </c>
      <c r="D115" s="43"/>
      <c r="E115" s="44"/>
      <c r="F115" s="52"/>
      <c r="G115" s="45"/>
      <c r="H115" s="49">
        <v>18</v>
      </c>
      <c r="I115" s="49">
        <v>18</v>
      </c>
      <c r="J115" s="49">
        <v>104</v>
      </c>
      <c r="K115" s="49">
        <v>1</v>
      </c>
      <c r="L115" s="49">
        <v>53</v>
      </c>
      <c r="M115" s="49">
        <v>1</v>
      </c>
      <c r="N115" s="49">
        <v>17</v>
      </c>
      <c r="O115" s="49">
        <v>1</v>
      </c>
      <c r="P115" s="49">
        <v>26</v>
      </c>
      <c r="Q115" s="49">
        <v>0</v>
      </c>
      <c r="R115" s="49">
        <v>5</v>
      </c>
      <c r="S115" s="49">
        <v>0</v>
      </c>
      <c r="T115" s="49">
        <v>144</v>
      </c>
      <c r="U115" s="49">
        <v>2</v>
      </c>
      <c r="V115" s="49"/>
      <c r="W115" s="49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38"/>
      <c r="AK115" s="38"/>
    </row>
    <row r="116" spans="1:37" s="2" customFormat="1" ht="12.75">
      <c r="A116" s="121" t="s">
        <v>154</v>
      </c>
      <c r="B116" s="115"/>
      <c r="C116" s="115"/>
      <c r="D116" s="62">
        <f aca="true" t="shared" si="27" ref="D116:S116">SUM(D117:D123)</f>
        <v>4327</v>
      </c>
      <c r="E116" s="62">
        <f t="shared" si="27"/>
        <v>3</v>
      </c>
      <c r="F116" s="62">
        <f t="shared" si="27"/>
        <v>4088</v>
      </c>
      <c r="G116" s="62">
        <f t="shared" si="27"/>
        <v>5</v>
      </c>
      <c r="H116" s="62">
        <f t="shared" si="27"/>
        <v>4885</v>
      </c>
      <c r="I116" s="62">
        <f t="shared" si="27"/>
        <v>168</v>
      </c>
      <c r="J116" s="62">
        <f t="shared" si="27"/>
        <v>5426</v>
      </c>
      <c r="K116" s="62">
        <f t="shared" si="27"/>
        <v>496</v>
      </c>
      <c r="L116" s="62">
        <f t="shared" si="27"/>
        <v>5575</v>
      </c>
      <c r="M116" s="62">
        <f t="shared" si="27"/>
        <v>509</v>
      </c>
      <c r="N116" s="62">
        <f t="shared" si="27"/>
        <v>5378</v>
      </c>
      <c r="O116" s="62">
        <f t="shared" si="27"/>
        <v>992</v>
      </c>
      <c r="P116" s="62">
        <f t="shared" si="27"/>
        <v>5316</v>
      </c>
      <c r="Q116" s="62">
        <f t="shared" si="27"/>
        <v>1047</v>
      </c>
      <c r="R116" s="62">
        <f t="shared" si="27"/>
        <v>3762</v>
      </c>
      <c r="S116" s="62">
        <f t="shared" si="27"/>
        <v>728</v>
      </c>
      <c r="T116" s="62">
        <f>SUM(T117:T123)</f>
        <v>3778</v>
      </c>
      <c r="U116" s="62">
        <f>SUM(U117:U123)</f>
        <v>962</v>
      </c>
      <c r="V116" s="62">
        <f>SUM(V117:V123)</f>
        <v>3455</v>
      </c>
      <c r="W116" s="62">
        <f>SUM(W117:W123)</f>
        <v>1027</v>
      </c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52"/>
      <c r="AK116" s="152"/>
    </row>
    <row r="117" spans="1:35" s="2" customFormat="1" ht="12.75">
      <c r="A117" s="27"/>
      <c r="B117" s="10" t="s">
        <v>7</v>
      </c>
      <c r="D117" s="43"/>
      <c r="E117" s="44"/>
      <c r="F117" s="50"/>
      <c r="G117" s="45"/>
      <c r="H117" s="44"/>
      <c r="I117" s="45"/>
      <c r="J117" s="43">
        <v>98</v>
      </c>
      <c r="K117" s="45"/>
      <c r="L117" s="43">
        <v>112</v>
      </c>
      <c r="M117" s="45"/>
      <c r="N117" s="44">
        <v>67</v>
      </c>
      <c r="O117" s="45"/>
      <c r="P117" s="44">
        <v>83</v>
      </c>
      <c r="Q117" s="45"/>
      <c r="R117" s="43">
        <v>43</v>
      </c>
      <c r="S117" s="45"/>
      <c r="T117" s="43">
        <v>19</v>
      </c>
      <c r="U117" s="45"/>
      <c r="V117" s="43">
        <v>24</v>
      </c>
      <c r="W117" s="45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</row>
    <row r="118" spans="1:35" s="2" customFormat="1" ht="12.75">
      <c r="A118" s="27"/>
      <c r="B118" s="10" t="s">
        <v>91</v>
      </c>
      <c r="D118" s="43"/>
      <c r="E118" s="44"/>
      <c r="F118" s="50"/>
      <c r="G118" s="45"/>
      <c r="H118" s="44"/>
      <c r="I118" s="45"/>
      <c r="J118" s="43">
        <v>694</v>
      </c>
      <c r="K118" s="45"/>
      <c r="L118" s="43">
        <v>576</v>
      </c>
      <c r="M118" s="45"/>
      <c r="N118" s="44">
        <v>495</v>
      </c>
      <c r="O118" s="45">
        <v>1</v>
      </c>
      <c r="P118" s="44">
        <v>445</v>
      </c>
      <c r="Q118" s="45"/>
      <c r="R118" s="43">
        <v>242</v>
      </c>
      <c r="S118" s="45">
        <v>82</v>
      </c>
      <c r="T118" s="43">
        <v>164</v>
      </c>
      <c r="U118" s="45">
        <v>38</v>
      </c>
      <c r="V118" s="43">
        <v>65</v>
      </c>
      <c r="W118" s="45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</row>
    <row r="119" spans="1:35" s="2" customFormat="1" ht="12.75">
      <c r="A119" s="27"/>
      <c r="B119" s="10" t="s">
        <v>92</v>
      </c>
      <c r="D119" s="43"/>
      <c r="E119" s="44"/>
      <c r="F119" s="50"/>
      <c r="G119" s="45"/>
      <c r="H119" s="44"/>
      <c r="I119" s="45"/>
      <c r="J119" s="43">
        <v>484</v>
      </c>
      <c r="K119" s="45"/>
      <c r="L119" s="43">
        <v>337</v>
      </c>
      <c r="M119" s="45"/>
      <c r="N119" s="44">
        <v>500</v>
      </c>
      <c r="O119" s="45">
        <v>500</v>
      </c>
      <c r="P119" s="44">
        <v>539</v>
      </c>
      <c r="Q119" s="45">
        <v>527</v>
      </c>
      <c r="R119" s="43">
        <v>423</v>
      </c>
      <c r="S119" s="45">
        <v>423</v>
      </c>
      <c r="T119" s="43">
        <v>563</v>
      </c>
      <c r="U119" s="45">
        <v>563</v>
      </c>
      <c r="V119" s="43">
        <v>653</v>
      </c>
      <c r="W119" s="45">
        <v>643</v>
      </c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</row>
    <row r="120" spans="1:37" s="2" customFormat="1" ht="12.75">
      <c r="A120" s="112"/>
      <c r="B120" s="23" t="s">
        <v>81</v>
      </c>
      <c r="D120" s="88">
        <v>924</v>
      </c>
      <c r="E120" s="89"/>
      <c r="F120" s="93">
        <f>ROUND((1728/1936.27)*1000,0)</f>
        <v>892</v>
      </c>
      <c r="G120" s="63"/>
      <c r="H120" s="63">
        <v>988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38"/>
      <c r="AK120" s="38"/>
    </row>
    <row r="121" spans="1:35" s="2" customFormat="1" ht="12.75">
      <c r="A121" s="27"/>
      <c r="B121" s="21" t="s">
        <v>24</v>
      </c>
      <c r="C121" s="30"/>
      <c r="D121" s="43">
        <v>3107</v>
      </c>
      <c r="E121" s="44">
        <v>3</v>
      </c>
      <c r="F121" s="52">
        <f>ROUND((5811/1936.27)*1000,0)</f>
        <v>3001</v>
      </c>
      <c r="G121" s="49">
        <f>ROUND(10000/1936.27,0)</f>
        <v>5</v>
      </c>
      <c r="H121" s="49">
        <v>2884</v>
      </c>
      <c r="I121" s="49">
        <f>ROUND((25000/1936.27),0)</f>
        <v>13</v>
      </c>
      <c r="J121" s="49">
        <v>2800</v>
      </c>
      <c r="K121" s="49">
        <v>63</v>
      </c>
      <c r="L121" s="49">
        <v>2611</v>
      </c>
      <c r="M121" s="49">
        <v>68</v>
      </c>
      <c r="N121" s="49">
        <v>2480</v>
      </c>
      <c r="O121" s="49">
        <v>26</v>
      </c>
      <c r="P121" s="49">
        <v>2400</v>
      </c>
      <c r="Q121" s="49">
        <v>21</v>
      </c>
      <c r="R121" s="49">
        <v>2099</v>
      </c>
      <c r="S121" s="49">
        <v>5</v>
      </c>
      <c r="T121" s="49">
        <v>2154</v>
      </c>
      <c r="U121" s="49">
        <v>106</v>
      </c>
      <c r="V121" s="49">
        <v>2161</v>
      </c>
      <c r="W121" s="49">
        <v>5</v>
      </c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</row>
    <row r="122" spans="1:35" s="30" customFormat="1" ht="12.75">
      <c r="A122" s="27"/>
      <c r="B122" s="21" t="s">
        <v>93</v>
      </c>
      <c r="D122" s="43">
        <f>296</f>
        <v>296</v>
      </c>
      <c r="E122" s="44"/>
      <c r="F122" s="52">
        <f>ROUND((378/1936.27)*1000,0)</f>
        <v>195</v>
      </c>
      <c r="G122" s="49"/>
      <c r="H122" s="49">
        <v>255</v>
      </c>
      <c r="I122" s="49"/>
      <c r="J122" s="49">
        <v>318</v>
      </c>
      <c r="K122" s="49">
        <v>38</v>
      </c>
      <c r="L122" s="49">
        <v>304</v>
      </c>
      <c r="M122" s="49">
        <v>18</v>
      </c>
      <c r="N122" s="49">
        <v>336</v>
      </c>
      <c r="O122" s="49">
        <v>30</v>
      </c>
      <c r="P122" s="49">
        <v>299</v>
      </c>
      <c r="Q122" s="49">
        <v>43</v>
      </c>
      <c r="R122" s="49">
        <v>85</v>
      </c>
      <c r="S122" s="49">
        <v>2</v>
      </c>
      <c r="T122" s="49">
        <v>76</v>
      </c>
      <c r="U122" s="49">
        <v>26</v>
      </c>
      <c r="V122" s="49">
        <v>229</v>
      </c>
      <c r="W122" s="49">
        <v>130</v>
      </c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</row>
    <row r="123" spans="1:35" s="30" customFormat="1" ht="12.75">
      <c r="A123" s="27"/>
      <c r="B123" s="22" t="s">
        <v>135</v>
      </c>
      <c r="C123" s="2"/>
      <c r="D123" s="69"/>
      <c r="E123" s="44"/>
      <c r="F123" s="52"/>
      <c r="G123" s="45"/>
      <c r="H123" s="49">
        <v>758</v>
      </c>
      <c r="I123" s="49">
        <v>155</v>
      </c>
      <c r="J123" s="49">
        <v>1032</v>
      </c>
      <c r="K123" s="49">
        <v>395</v>
      </c>
      <c r="L123" s="49">
        <v>1635</v>
      </c>
      <c r="M123" s="49">
        <v>423</v>
      </c>
      <c r="N123" s="49">
        <v>1500</v>
      </c>
      <c r="O123" s="49">
        <v>435</v>
      </c>
      <c r="P123" s="49">
        <v>1550</v>
      </c>
      <c r="Q123" s="49">
        <v>456</v>
      </c>
      <c r="R123" s="49">
        <v>870</v>
      </c>
      <c r="S123" s="49">
        <v>216</v>
      </c>
      <c r="T123" s="49">
        <v>802</v>
      </c>
      <c r="U123" s="49">
        <v>229</v>
      </c>
      <c r="V123" s="49">
        <v>323</v>
      </c>
      <c r="W123" s="49">
        <v>249</v>
      </c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</row>
    <row r="124" spans="1:37" s="2" customFormat="1" ht="12.75">
      <c r="A124" s="114" t="s">
        <v>155</v>
      </c>
      <c r="B124" s="115"/>
      <c r="C124" s="115"/>
      <c r="D124" s="62">
        <f aca="true" t="shared" si="28" ref="D124:S124">SUM(D125:D130)</f>
        <v>2046</v>
      </c>
      <c r="E124" s="62">
        <f t="shared" si="28"/>
        <v>0</v>
      </c>
      <c r="F124" s="62">
        <f t="shared" si="28"/>
        <v>1700</v>
      </c>
      <c r="G124" s="62">
        <f t="shared" si="28"/>
        <v>52</v>
      </c>
      <c r="H124" s="62">
        <f t="shared" si="28"/>
        <v>1349</v>
      </c>
      <c r="I124" s="62">
        <f t="shared" si="28"/>
        <v>0</v>
      </c>
      <c r="J124" s="62">
        <f t="shared" si="28"/>
        <v>1787</v>
      </c>
      <c r="K124" s="62">
        <f t="shared" si="28"/>
        <v>11</v>
      </c>
      <c r="L124" s="62">
        <f t="shared" si="28"/>
        <v>1390</v>
      </c>
      <c r="M124" s="62">
        <f t="shared" si="28"/>
        <v>0</v>
      </c>
      <c r="N124" s="62">
        <f t="shared" si="28"/>
        <v>1232</v>
      </c>
      <c r="O124" s="62">
        <f t="shared" si="28"/>
        <v>393</v>
      </c>
      <c r="P124" s="62">
        <f t="shared" si="28"/>
        <v>1779</v>
      </c>
      <c r="Q124" s="62">
        <f t="shared" si="28"/>
        <v>500</v>
      </c>
      <c r="R124" s="62">
        <f t="shared" si="28"/>
        <v>1981</v>
      </c>
      <c r="S124" s="62">
        <f t="shared" si="28"/>
        <v>1587</v>
      </c>
      <c r="T124" s="62">
        <f>SUM(T125:T130)</f>
        <v>1759</v>
      </c>
      <c r="U124" s="62">
        <f>SUM(U125:U130)</f>
        <v>1301</v>
      </c>
      <c r="V124" s="62">
        <f>SUM(V125:V130)</f>
        <v>1468</v>
      </c>
      <c r="W124" s="62">
        <f>SUM(W125:W130)</f>
        <v>1224</v>
      </c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38"/>
      <c r="AK124" s="38"/>
    </row>
    <row r="125" spans="1:35" s="2" customFormat="1" ht="12.75">
      <c r="A125" s="27"/>
      <c r="B125" s="22" t="s">
        <v>26</v>
      </c>
      <c r="D125" s="43">
        <v>171</v>
      </c>
      <c r="E125" s="44"/>
      <c r="F125" s="52">
        <f>ROUND((140/1936.27)*1000,0)</f>
        <v>72</v>
      </c>
      <c r="G125" s="45"/>
      <c r="H125" s="43">
        <v>103</v>
      </c>
      <c r="I125" s="45"/>
      <c r="J125" s="43">
        <v>120</v>
      </c>
      <c r="K125" s="45"/>
      <c r="L125" s="43">
        <v>99</v>
      </c>
      <c r="M125" s="45"/>
      <c r="N125" s="43">
        <v>192</v>
      </c>
      <c r="O125" s="45"/>
      <c r="P125" s="43">
        <v>425</v>
      </c>
      <c r="Q125" s="45">
        <v>50</v>
      </c>
      <c r="R125" s="43">
        <v>296</v>
      </c>
      <c r="S125" s="45">
        <v>145</v>
      </c>
      <c r="T125" s="43">
        <v>524</v>
      </c>
      <c r="U125" s="45">
        <v>297</v>
      </c>
      <c r="V125" s="43">
        <v>383</v>
      </c>
      <c r="W125" s="45">
        <v>267</v>
      </c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</row>
    <row r="126" spans="1:35" s="2" customFormat="1" ht="12.75">
      <c r="A126" s="122"/>
      <c r="B126" s="21" t="s">
        <v>55</v>
      </c>
      <c r="D126" s="43">
        <v>25</v>
      </c>
      <c r="E126" s="44"/>
      <c r="F126" s="52">
        <v>0</v>
      </c>
      <c r="G126" s="45"/>
      <c r="H126" s="43">
        <v>0</v>
      </c>
      <c r="I126" s="45"/>
      <c r="J126" s="43"/>
      <c r="K126" s="45"/>
      <c r="L126" s="43"/>
      <c r="M126" s="45"/>
      <c r="N126" s="43"/>
      <c r="O126" s="45"/>
      <c r="P126" s="43"/>
      <c r="Q126" s="45"/>
      <c r="R126" s="43"/>
      <c r="S126" s="45"/>
      <c r="T126" s="43"/>
      <c r="U126" s="45"/>
      <c r="V126" s="43"/>
      <c r="W126" s="45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</row>
    <row r="127" spans="1:35" s="2" customFormat="1" ht="12.75">
      <c r="A127" s="27"/>
      <c r="B127" s="22" t="s">
        <v>95</v>
      </c>
      <c r="D127" s="43">
        <v>350</v>
      </c>
      <c r="E127" s="44"/>
      <c r="F127" s="52">
        <f>ROUND((2004/1936.27)*1000,0)</f>
        <v>1035</v>
      </c>
      <c r="G127" s="45">
        <f>ROUND(100000/1936.27,0)</f>
        <v>52</v>
      </c>
      <c r="H127" s="43">
        <v>744</v>
      </c>
      <c r="I127" s="45"/>
      <c r="J127" s="43">
        <f>655+506</f>
        <v>1161</v>
      </c>
      <c r="K127" s="45"/>
      <c r="L127" s="43">
        <f>432+348</f>
        <v>780</v>
      </c>
      <c r="M127" s="45"/>
      <c r="N127" s="43">
        <f>183+273</f>
        <v>456</v>
      </c>
      <c r="O127" s="45">
        <f>103+220</f>
        <v>323</v>
      </c>
      <c r="P127" s="43">
        <f>11+901</f>
        <v>912</v>
      </c>
      <c r="Q127" s="45">
        <v>450</v>
      </c>
      <c r="R127" s="43">
        <f>215+207</f>
        <v>422</v>
      </c>
      <c r="S127" s="45">
        <f>131+190</f>
        <v>321</v>
      </c>
      <c r="T127" s="43">
        <v>391</v>
      </c>
      <c r="U127" s="45">
        <v>374</v>
      </c>
      <c r="V127" s="43">
        <v>276</v>
      </c>
      <c r="W127" s="45">
        <v>250</v>
      </c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</row>
    <row r="128" spans="1:35" s="2" customFormat="1" ht="12.75">
      <c r="A128" s="27"/>
      <c r="B128" s="22" t="s">
        <v>56</v>
      </c>
      <c r="C128" s="32"/>
      <c r="D128" s="43">
        <v>1194</v>
      </c>
      <c r="E128" s="44"/>
      <c r="F128" s="52">
        <f>ROUND((413/1936.27)*1000,0)</f>
        <v>213</v>
      </c>
      <c r="G128" s="45"/>
      <c r="H128" s="43">
        <v>171</v>
      </c>
      <c r="I128" s="45"/>
      <c r="J128" s="43">
        <v>171</v>
      </c>
      <c r="K128" s="45">
        <v>11</v>
      </c>
      <c r="L128" s="43">
        <v>147</v>
      </c>
      <c r="M128" s="45"/>
      <c r="N128" s="43">
        <v>281</v>
      </c>
      <c r="O128" s="45">
        <v>70</v>
      </c>
      <c r="P128" s="43">
        <v>286</v>
      </c>
      <c r="Q128" s="45"/>
      <c r="R128" s="43">
        <v>1175</v>
      </c>
      <c r="S128" s="45">
        <v>1121</v>
      </c>
      <c r="T128" s="43">
        <v>788</v>
      </c>
      <c r="U128" s="45">
        <v>630</v>
      </c>
      <c r="V128" s="43">
        <v>723</v>
      </c>
      <c r="W128" s="45">
        <v>707</v>
      </c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</row>
    <row r="129" spans="1:35" s="32" customFormat="1" ht="12.75">
      <c r="A129" s="27"/>
      <c r="B129" s="22" t="s">
        <v>174</v>
      </c>
      <c r="D129" s="43"/>
      <c r="E129" s="44"/>
      <c r="F129" s="50"/>
      <c r="G129" s="45"/>
      <c r="H129" s="44"/>
      <c r="I129" s="45"/>
      <c r="J129" s="43"/>
      <c r="K129" s="45"/>
      <c r="L129" s="43">
        <v>47</v>
      </c>
      <c r="M129" s="45"/>
      <c r="N129" s="44">
        <v>56</v>
      </c>
      <c r="O129" s="45"/>
      <c r="P129" s="44">
        <v>52</v>
      </c>
      <c r="Q129" s="45"/>
      <c r="R129" s="43">
        <v>45</v>
      </c>
      <c r="S129" s="45"/>
      <c r="T129" s="43">
        <v>20</v>
      </c>
      <c r="U129" s="45"/>
      <c r="V129" s="43">
        <v>25</v>
      </c>
      <c r="W129" s="45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</row>
    <row r="130" spans="1:35" s="32" customFormat="1" ht="12.75">
      <c r="A130" s="27"/>
      <c r="B130" s="22" t="s">
        <v>29</v>
      </c>
      <c r="D130" s="43">
        <v>306</v>
      </c>
      <c r="E130" s="44"/>
      <c r="F130" s="52">
        <f>ROUND((735/1936.27)*1000,0)</f>
        <v>380</v>
      </c>
      <c r="G130" s="45"/>
      <c r="H130" s="43">
        <v>331</v>
      </c>
      <c r="I130" s="45"/>
      <c r="J130" s="43">
        <v>335</v>
      </c>
      <c r="K130" s="45"/>
      <c r="L130" s="69">
        <v>317</v>
      </c>
      <c r="M130" s="45"/>
      <c r="N130" s="43">
        <v>247</v>
      </c>
      <c r="O130" s="45"/>
      <c r="P130" s="43">
        <v>104</v>
      </c>
      <c r="Q130" s="45"/>
      <c r="R130" s="43">
        <v>43</v>
      </c>
      <c r="S130" s="45"/>
      <c r="T130" s="43">
        <v>36</v>
      </c>
      <c r="U130" s="45"/>
      <c r="V130" s="43">
        <v>61</v>
      </c>
      <c r="W130" s="45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</row>
    <row r="131" spans="1:35" s="32" customFormat="1" ht="12.75">
      <c r="A131" s="121" t="s">
        <v>185</v>
      </c>
      <c r="B131" s="115"/>
      <c r="C131" s="115"/>
      <c r="D131" s="62">
        <f aca="true" t="shared" si="29" ref="D131:S131">SUM(D132:D142)</f>
        <v>1559</v>
      </c>
      <c r="E131" s="62">
        <f t="shared" si="29"/>
        <v>0</v>
      </c>
      <c r="F131" s="62">
        <f t="shared" si="29"/>
        <v>3300.5</v>
      </c>
      <c r="G131" s="62">
        <f t="shared" si="29"/>
        <v>580</v>
      </c>
      <c r="H131" s="62">
        <f t="shared" si="29"/>
        <v>2095</v>
      </c>
      <c r="I131" s="62">
        <f t="shared" si="29"/>
        <v>0</v>
      </c>
      <c r="J131" s="62">
        <f t="shared" si="29"/>
        <v>3766</v>
      </c>
      <c r="K131" s="62">
        <f t="shared" si="29"/>
        <v>137</v>
      </c>
      <c r="L131" s="62">
        <f t="shared" si="29"/>
        <v>3516</v>
      </c>
      <c r="M131" s="62">
        <f t="shared" si="29"/>
        <v>1274</v>
      </c>
      <c r="N131" s="62">
        <f t="shared" si="29"/>
        <v>2696</v>
      </c>
      <c r="O131" s="62">
        <f t="shared" si="29"/>
        <v>951</v>
      </c>
      <c r="P131" s="62">
        <f t="shared" si="29"/>
        <v>2845</v>
      </c>
      <c r="Q131" s="62">
        <f t="shared" si="29"/>
        <v>40</v>
      </c>
      <c r="R131" s="62">
        <f t="shared" si="29"/>
        <v>2723</v>
      </c>
      <c r="S131" s="62">
        <f t="shared" si="29"/>
        <v>139</v>
      </c>
      <c r="T131" s="62">
        <f>SUM(T132:T142)</f>
        <v>7255</v>
      </c>
      <c r="U131" s="62">
        <f>SUM(U132:U142)</f>
        <v>4361</v>
      </c>
      <c r="V131" s="62">
        <f>SUM(V132:V142)</f>
        <v>9769</v>
      </c>
      <c r="W131" s="62">
        <f>SUM(W132:W142)</f>
        <v>6706</v>
      </c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</row>
    <row r="132" spans="1:35" s="2" customFormat="1" ht="12.75">
      <c r="A132" s="27"/>
      <c r="B132" s="10" t="s">
        <v>186</v>
      </c>
      <c r="C132" s="32"/>
      <c r="D132" s="67">
        <v>144</v>
      </c>
      <c r="E132" s="103"/>
      <c r="F132" s="52">
        <f>ROUND((860/1936.27)*1000,0)</f>
        <v>444</v>
      </c>
      <c r="G132" s="52"/>
      <c r="H132" s="52">
        <v>428</v>
      </c>
      <c r="I132" s="49">
        <f>ROUND((72882176/1936.27),0)-37640-1</f>
        <v>0</v>
      </c>
      <c r="J132" s="52">
        <v>207</v>
      </c>
      <c r="K132" s="49"/>
      <c r="L132" s="52">
        <v>221</v>
      </c>
      <c r="M132" s="49"/>
      <c r="N132" s="52">
        <v>135</v>
      </c>
      <c r="O132" s="49">
        <v>43</v>
      </c>
      <c r="P132" s="52">
        <v>109</v>
      </c>
      <c r="Q132" s="49"/>
      <c r="R132" s="52">
        <v>135</v>
      </c>
      <c r="S132" s="49"/>
      <c r="T132" s="52">
        <v>105</v>
      </c>
      <c r="U132" s="49"/>
      <c r="V132" s="52">
        <v>181</v>
      </c>
      <c r="W132" s="49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</row>
    <row r="133" spans="1:35" s="32" customFormat="1" ht="12.75">
      <c r="A133" s="27"/>
      <c r="B133" s="10" t="s">
        <v>99</v>
      </c>
      <c r="C133" s="2"/>
      <c r="D133" s="67"/>
      <c r="E133" s="103"/>
      <c r="F133" s="52"/>
      <c r="G133" s="52"/>
      <c r="H133" s="52"/>
      <c r="I133" s="49"/>
      <c r="J133" s="52">
        <v>63</v>
      </c>
      <c r="K133" s="49"/>
      <c r="L133" s="52">
        <v>34</v>
      </c>
      <c r="M133" s="49"/>
      <c r="N133" s="52"/>
      <c r="O133" s="49"/>
      <c r="P133" s="52"/>
      <c r="Q133" s="49"/>
      <c r="R133" s="52"/>
      <c r="S133" s="49"/>
      <c r="T133" s="52"/>
      <c r="U133" s="49"/>
      <c r="V133" s="52"/>
      <c r="W133" s="49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</row>
    <row r="134" spans="1:35" s="2" customFormat="1" ht="12.75">
      <c r="A134" s="27"/>
      <c r="B134" s="22" t="s">
        <v>96</v>
      </c>
      <c r="D134" s="43">
        <v>15</v>
      </c>
      <c r="E134" s="95"/>
      <c r="F134" s="52">
        <f>ROUND((94/1936.27)*1000,0)</f>
        <v>49</v>
      </c>
      <c r="G134" s="49"/>
      <c r="H134" s="49">
        <v>17</v>
      </c>
      <c r="I134" s="49"/>
      <c r="J134" s="49">
        <v>1</v>
      </c>
      <c r="K134" s="49"/>
      <c r="L134" s="49">
        <v>12</v>
      </c>
      <c r="M134" s="49"/>
      <c r="N134" s="49">
        <v>21</v>
      </c>
      <c r="O134" s="49"/>
      <c r="P134" s="49">
        <v>163</v>
      </c>
      <c r="Q134" s="49"/>
      <c r="R134" s="49">
        <v>82</v>
      </c>
      <c r="S134" s="49"/>
      <c r="T134" s="49">
        <v>61</v>
      </c>
      <c r="U134" s="49">
        <v>21</v>
      </c>
      <c r="V134" s="49">
        <v>45</v>
      </c>
      <c r="W134" s="49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</row>
    <row r="135" spans="1:35" s="2" customFormat="1" ht="12.75">
      <c r="A135" s="27"/>
      <c r="B135" s="22" t="s">
        <v>98</v>
      </c>
      <c r="D135" s="105"/>
      <c r="E135" s="95"/>
      <c r="F135" s="52">
        <f>ROUND((254/1936.27)*1000,0)</f>
        <v>131</v>
      </c>
      <c r="G135" s="49"/>
      <c r="H135" s="49">
        <v>81</v>
      </c>
      <c r="I135" s="49"/>
      <c r="J135" s="49">
        <v>468</v>
      </c>
      <c r="K135" s="49">
        <v>137</v>
      </c>
      <c r="L135" s="49">
        <v>333</v>
      </c>
      <c r="M135" s="49">
        <v>88</v>
      </c>
      <c r="N135" s="49">
        <v>229</v>
      </c>
      <c r="O135" s="49">
        <v>65</v>
      </c>
      <c r="P135" s="49">
        <v>210</v>
      </c>
      <c r="Q135" s="49">
        <v>40</v>
      </c>
      <c r="R135" s="49">
        <v>202</v>
      </c>
      <c r="S135" s="49"/>
      <c r="T135" s="49">
        <v>220</v>
      </c>
      <c r="U135" s="49"/>
      <c r="V135" s="49">
        <v>6956</v>
      </c>
      <c r="W135" s="49">
        <v>6706</v>
      </c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</row>
    <row r="136" spans="1:35" s="2" customFormat="1" ht="12.75">
      <c r="A136" s="27"/>
      <c r="B136" s="22" t="s">
        <v>100</v>
      </c>
      <c r="D136" s="105"/>
      <c r="E136" s="95"/>
      <c r="F136" s="52"/>
      <c r="G136" s="49"/>
      <c r="H136" s="49"/>
      <c r="I136" s="49"/>
      <c r="J136" s="49">
        <v>27</v>
      </c>
      <c r="K136" s="49"/>
      <c r="L136" s="49">
        <v>368</v>
      </c>
      <c r="M136" s="49">
        <v>313</v>
      </c>
      <c r="N136" s="49">
        <v>203</v>
      </c>
      <c r="O136" s="49">
        <v>172</v>
      </c>
      <c r="P136" s="49"/>
      <c r="Q136" s="49"/>
      <c r="R136" s="49"/>
      <c r="S136" s="49"/>
      <c r="T136" s="49"/>
      <c r="U136" s="49"/>
      <c r="V136" s="49"/>
      <c r="W136" s="49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</row>
    <row r="137" spans="1:35" s="2" customFormat="1" ht="12.75">
      <c r="A137" s="27"/>
      <c r="B137" s="22" t="s">
        <v>101</v>
      </c>
      <c r="D137" s="105"/>
      <c r="E137" s="95"/>
      <c r="F137" s="52"/>
      <c r="G137" s="49"/>
      <c r="H137" s="49"/>
      <c r="I137" s="49"/>
      <c r="J137" s="49">
        <v>1820</v>
      </c>
      <c r="K137" s="49"/>
      <c r="L137" s="49">
        <v>1187</v>
      </c>
      <c r="M137" s="49"/>
      <c r="N137" s="49">
        <v>1209</v>
      </c>
      <c r="O137" s="49"/>
      <c r="P137" s="49">
        <v>2174</v>
      </c>
      <c r="Q137" s="49"/>
      <c r="R137" s="49">
        <v>2239</v>
      </c>
      <c r="S137" s="49">
        <v>139</v>
      </c>
      <c r="T137" s="49">
        <v>2466</v>
      </c>
      <c r="U137" s="49">
        <v>140</v>
      </c>
      <c r="V137" s="49">
        <v>2550</v>
      </c>
      <c r="W137" s="49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</row>
    <row r="138" spans="1:35" s="53" customFormat="1" ht="12.75">
      <c r="A138" s="27"/>
      <c r="B138" s="21" t="s">
        <v>97</v>
      </c>
      <c r="C138" s="2"/>
      <c r="D138" s="105"/>
      <c r="E138" s="106"/>
      <c r="F138" s="52"/>
      <c r="G138" s="49"/>
      <c r="H138" s="49">
        <v>178</v>
      </c>
      <c r="I138" s="49"/>
      <c r="J138" s="49">
        <v>147</v>
      </c>
      <c r="K138" s="49"/>
      <c r="L138" s="49">
        <v>293</v>
      </c>
      <c r="M138" s="49"/>
      <c r="N138" s="49">
        <v>215</v>
      </c>
      <c r="O138" s="49">
        <v>71</v>
      </c>
      <c r="P138" s="49">
        <v>61</v>
      </c>
      <c r="Q138" s="49"/>
      <c r="R138" s="49">
        <v>65</v>
      </c>
      <c r="S138" s="49"/>
      <c r="T138" s="49">
        <v>4229</v>
      </c>
      <c r="U138" s="49">
        <v>4200</v>
      </c>
      <c r="V138" s="49">
        <v>7</v>
      </c>
      <c r="W138" s="49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</row>
    <row r="139" spans="1:35" s="2" customFormat="1" ht="12.75">
      <c r="A139" s="27"/>
      <c r="B139" s="22" t="s">
        <v>85</v>
      </c>
      <c r="D139" s="49">
        <v>124</v>
      </c>
      <c r="E139" s="95"/>
      <c r="F139" s="52">
        <f>ROUND((913/1936.27)*1000,0)</f>
        <v>472</v>
      </c>
      <c r="G139" s="49"/>
      <c r="H139" s="71">
        <v>587</v>
      </c>
      <c r="I139" s="49"/>
      <c r="J139" s="71">
        <v>1033</v>
      </c>
      <c r="K139" s="49"/>
      <c r="L139" s="71">
        <v>1068</v>
      </c>
      <c r="M139" s="49">
        <v>873</v>
      </c>
      <c r="N139" s="71">
        <v>684</v>
      </c>
      <c r="O139" s="49">
        <v>600</v>
      </c>
      <c r="P139" s="71">
        <v>128</v>
      </c>
      <c r="Q139" s="49"/>
      <c r="R139" s="71"/>
      <c r="S139" s="49"/>
      <c r="T139" s="71">
        <v>174</v>
      </c>
      <c r="U139" s="49"/>
      <c r="V139" s="71">
        <v>30</v>
      </c>
      <c r="W139" s="49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</row>
    <row r="140" spans="1:35" s="2" customFormat="1" ht="12.75">
      <c r="A140" s="112"/>
      <c r="B140" s="23" t="s">
        <v>58</v>
      </c>
      <c r="D140" s="88">
        <v>284</v>
      </c>
      <c r="E140" s="104"/>
      <c r="F140" s="93">
        <f>ROUND((507/1936.27)*1000,0)</f>
        <v>262</v>
      </c>
      <c r="G140" s="63"/>
      <c r="H140" s="63">
        <v>48</v>
      </c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</row>
    <row r="141" spans="1:35" s="2" customFormat="1" ht="12.75">
      <c r="A141" s="112"/>
      <c r="B141" s="23" t="s">
        <v>25</v>
      </c>
      <c r="D141" s="88">
        <v>727</v>
      </c>
      <c r="E141" s="104"/>
      <c r="F141" s="93">
        <f>ROUND((3762/1936.27)*1000,0)-0.5</f>
        <v>1942.5</v>
      </c>
      <c r="G141" s="63">
        <f>ROUND(1122500/1936.27,0)</f>
        <v>580</v>
      </c>
      <c r="H141" s="63">
        <v>756</v>
      </c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</row>
    <row r="142" spans="1:35" s="2" customFormat="1" ht="12.75">
      <c r="A142" s="56"/>
      <c r="B142" s="23" t="s">
        <v>50</v>
      </c>
      <c r="D142" s="88">
        <v>265</v>
      </c>
      <c r="E142" s="88"/>
      <c r="F142" s="100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</row>
    <row r="143" spans="1:35" s="2" customFormat="1" ht="12.75">
      <c r="A143" s="114" t="s">
        <v>156</v>
      </c>
      <c r="B143" s="115"/>
      <c r="C143" s="115"/>
      <c r="D143" s="79">
        <v>553</v>
      </c>
      <c r="E143" s="79"/>
      <c r="F143" s="79">
        <f>ROUND((12065/1936.27)*1000,0)</f>
        <v>6231</v>
      </c>
      <c r="G143" s="79">
        <f>ROUND(10200000/1936.27,0)</f>
        <v>5268</v>
      </c>
      <c r="H143" s="65">
        <v>4989</v>
      </c>
      <c r="I143" s="79">
        <f>ROUND((7773708/1936.27),0)</f>
        <v>4015</v>
      </c>
      <c r="J143" s="65">
        <v>6274</v>
      </c>
      <c r="K143" s="79">
        <v>6210</v>
      </c>
      <c r="L143" s="65">
        <v>4508</v>
      </c>
      <c r="M143" s="79">
        <v>4474</v>
      </c>
      <c r="N143" s="65">
        <v>6940</v>
      </c>
      <c r="O143" s="79">
        <v>6772</v>
      </c>
      <c r="P143" s="65">
        <v>6441</v>
      </c>
      <c r="Q143" s="79">
        <v>6342</v>
      </c>
      <c r="R143" s="65">
        <v>4608</v>
      </c>
      <c r="S143" s="79">
        <v>4523</v>
      </c>
      <c r="T143" s="65">
        <v>6490</v>
      </c>
      <c r="U143" s="79">
        <v>6168</v>
      </c>
      <c r="V143" s="65">
        <v>5404</v>
      </c>
      <c r="W143" s="79">
        <v>5087</v>
      </c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</row>
    <row r="144" spans="1:35" s="2" customFormat="1" ht="12.75">
      <c r="A144" s="121" t="s">
        <v>120</v>
      </c>
      <c r="B144" s="115"/>
      <c r="C144" s="115"/>
      <c r="D144" s="62">
        <f aca="true" t="shared" si="30" ref="D144:S144">SUM(D145:D146)</f>
        <v>5743</v>
      </c>
      <c r="E144" s="62">
        <f t="shared" si="30"/>
        <v>444</v>
      </c>
      <c r="F144" s="62">
        <f t="shared" si="30"/>
        <v>6575</v>
      </c>
      <c r="G144" s="62">
        <f t="shared" si="30"/>
        <v>1912</v>
      </c>
      <c r="H144" s="62">
        <f t="shared" si="30"/>
        <v>4768</v>
      </c>
      <c r="I144" s="62">
        <f t="shared" si="30"/>
        <v>301</v>
      </c>
      <c r="J144" s="62">
        <f t="shared" si="30"/>
        <v>6114</v>
      </c>
      <c r="K144" s="62">
        <f t="shared" si="30"/>
        <v>151</v>
      </c>
      <c r="L144" s="62">
        <f t="shared" si="30"/>
        <v>7005</v>
      </c>
      <c r="M144" s="62">
        <f t="shared" si="30"/>
        <v>480</v>
      </c>
      <c r="N144" s="62">
        <f t="shared" si="30"/>
        <v>7173</v>
      </c>
      <c r="O144" s="62">
        <f t="shared" si="30"/>
        <v>308</v>
      </c>
      <c r="P144" s="62">
        <f t="shared" si="30"/>
        <v>7488</v>
      </c>
      <c r="Q144" s="62">
        <f t="shared" si="30"/>
        <v>632</v>
      </c>
      <c r="R144" s="62">
        <f t="shared" si="30"/>
        <v>7135</v>
      </c>
      <c r="S144" s="62">
        <f t="shared" si="30"/>
        <v>698</v>
      </c>
      <c r="T144" s="62">
        <f>SUM(T145:T146)</f>
        <v>7686</v>
      </c>
      <c r="U144" s="62">
        <f>SUM(U145:U146)</f>
        <v>799</v>
      </c>
      <c r="V144" s="62">
        <f>SUM(V145:V146)</f>
        <v>7443</v>
      </c>
      <c r="W144" s="62">
        <f>SUM(W145:W146)</f>
        <v>725</v>
      </c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</row>
    <row r="145" spans="1:35" s="2" customFormat="1" ht="12.75">
      <c r="A145" s="27"/>
      <c r="B145" s="22" t="s">
        <v>94</v>
      </c>
      <c r="C145" s="22"/>
      <c r="D145" s="43">
        <v>1384</v>
      </c>
      <c r="E145" s="44">
        <v>444</v>
      </c>
      <c r="F145" s="52">
        <f>ROUND((5570/1936.27)*1000,0)</f>
        <v>2877</v>
      </c>
      <c r="G145" s="45">
        <f>ROUND(3701590/1936.27,0)</f>
        <v>1912</v>
      </c>
      <c r="H145" s="43">
        <v>799</v>
      </c>
      <c r="I145" s="49">
        <f>ROUND((583121/1936.27),0)</f>
        <v>301</v>
      </c>
      <c r="J145" s="43">
        <v>1113</v>
      </c>
      <c r="K145" s="49">
        <v>151</v>
      </c>
      <c r="L145" s="43">
        <v>2795</v>
      </c>
      <c r="M145" s="49">
        <v>480</v>
      </c>
      <c r="N145" s="43">
        <v>2844</v>
      </c>
      <c r="O145" s="49">
        <v>308</v>
      </c>
      <c r="P145" s="43">
        <v>2175</v>
      </c>
      <c r="Q145" s="49">
        <v>626</v>
      </c>
      <c r="R145" s="43">
        <v>1887</v>
      </c>
      <c r="S145" s="49">
        <v>562</v>
      </c>
      <c r="T145" s="43">
        <v>2172</v>
      </c>
      <c r="U145" s="49">
        <v>718</v>
      </c>
      <c r="V145" s="43">
        <v>2151</v>
      </c>
      <c r="W145" s="49">
        <v>696</v>
      </c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</row>
    <row r="146" spans="1:35" s="2" customFormat="1" ht="12.75">
      <c r="A146" s="34"/>
      <c r="B146" s="17" t="s">
        <v>11</v>
      </c>
      <c r="C146" s="17"/>
      <c r="D146" s="64">
        <v>4359</v>
      </c>
      <c r="E146" s="77"/>
      <c r="F146" s="64">
        <f>ROUND((7160/1936.27)*1000,0)</f>
        <v>3698</v>
      </c>
      <c r="G146" s="77"/>
      <c r="H146" s="64">
        <v>3969</v>
      </c>
      <c r="I146" s="77"/>
      <c r="J146" s="64">
        <v>5001</v>
      </c>
      <c r="K146" s="77"/>
      <c r="L146" s="64">
        <v>4210</v>
      </c>
      <c r="M146" s="77"/>
      <c r="N146" s="64">
        <v>4329</v>
      </c>
      <c r="O146" s="77"/>
      <c r="P146" s="64">
        <v>5313</v>
      </c>
      <c r="Q146" s="77">
        <v>6</v>
      </c>
      <c r="R146" s="64">
        <v>5248</v>
      </c>
      <c r="S146" s="77">
        <v>136</v>
      </c>
      <c r="T146" s="64">
        <v>5514</v>
      </c>
      <c r="U146" s="77">
        <v>81</v>
      </c>
      <c r="V146" s="64">
        <v>5292</v>
      </c>
      <c r="W146" s="77">
        <v>29</v>
      </c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</row>
    <row r="147" spans="1:35" s="2" customFormat="1" ht="12.75">
      <c r="A147" s="121" t="s">
        <v>121</v>
      </c>
      <c r="B147" s="115"/>
      <c r="C147" s="115"/>
      <c r="D147" s="62">
        <f aca="true" t="shared" si="31" ref="D147:S147">SUM(D148:D151)</f>
        <v>275</v>
      </c>
      <c r="E147" s="62">
        <f t="shared" si="31"/>
        <v>0</v>
      </c>
      <c r="F147" s="62">
        <f t="shared" si="31"/>
        <v>285</v>
      </c>
      <c r="G147" s="62">
        <f t="shared" si="31"/>
        <v>0</v>
      </c>
      <c r="H147" s="62">
        <f t="shared" si="31"/>
        <v>198</v>
      </c>
      <c r="I147" s="62">
        <f t="shared" si="31"/>
        <v>0</v>
      </c>
      <c r="J147" s="62">
        <f t="shared" si="31"/>
        <v>1320</v>
      </c>
      <c r="K147" s="62">
        <f t="shared" si="31"/>
        <v>808</v>
      </c>
      <c r="L147" s="62">
        <f t="shared" si="31"/>
        <v>1465</v>
      </c>
      <c r="M147" s="62">
        <f t="shared" si="31"/>
        <v>775</v>
      </c>
      <c r="N147" s="62">
        <f t="shared" si="31"/>
        <v>1246</v>
      </c>
      <c r="O147" s="62">
        <f t="shared" si="31"/>
        <v>715</v>
      </c>
      <c r="P147" s="62">
        <f t="shared" si="31"/>
        <v>1129</v>
      </c>
      <c r="Q147" s="62">
        <f t="shared" si="31"/>
        <v>765</v>
      </c>
      <c r="R147" s="62">
        <f t="shared" si="31"/>
        <v>942</v>
      </c>
      <c r="S147" s="62">
        <f t="shared" si="31"/>
        <v>755</v>
      </c>
      <c r="T147" s="62">
        <f>SUM(T148:T151)</f>
        <v>939</v>
      </c>
      <c r="U147" s="62">
        <f>SUM(U148:U151)</f>
        <v>785</v>
      </c>
      <c r="V147" s="62">
        <f>SUM(V148:V151)</f>
        <v>859</v>
      </c>
      <c r="W147" s="62">
        <f>SUM(W148:W151)</f>
        <v>713</v>
      </c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</row>
    <row r="148" spans="1:35" s="2" customFormat="1" ht="12.75">
      <c r="A148" s="9"/>
      <c r="B148" s="22" t="s">
        <v>7</v>
      </c>
      <c r="D148" s="43"/>
      <c r="E148" s="44"/>
      <c r="F148" s="52"/>
      <c r="G148" s="45"/>
      <c r="H148" s="49"/>
      <c r="I148" s="45"/>
      <c r="J148" s="49">
        <v>115</v>
      </c>
      <c r="K148" s="45"/>
      <c r="L148" s="49">
        <v>158</v>
      </c>
      <c r="M148" s="45"/>
      <c r="N148" s="49">
        <v>163</v>
      </c>
      <c r="O148" s="45"/>
      <c r="P148" s="49">
        <v>139</v>
      </c>
      <c r="Q148" s="45"/>
      <c r="R148" s="49">
        <v>79</v>
      </c>
      <c r="S148" s="45"/>
      <c r="T148" s="49">
        <v>65</v>
      </c>
      <c r="U148" s="45"/>
      <c r="V148" s="49">
        <v>59</v>
      </c>
      <c r="W148" s="45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</row>
    <row r="149" spans="1:35" s="2" customFormat="1" ht="12.75">
      <c r="A149" s="9"/>
      <c r="B149" s="22" t="s">
        <v>30</v>
      </c>
      <c r="D149" s="43">
        <v>262</v>
      </c>
      <c r="E149" s="44"/>
      <c r="F149" s="52">
        <f>ROUND((532/1936.27)*1000,0)</f>
        <v>275</v>
      </c>
      <c r="G149" s="45"/>
      <c r="H149" s="49">
        <v>187</v>
      </c>
      <c r="I149" s="45"/>
      <c r="J149" s="49">
        <v>1096</v>
      </c>
      <c r="K149" s="45">
        <v>808</v>
      </c>
      <c r="L149" s="49">
        <v>1132</v>
      </c>
      <c r="M149" s="45">
        <v>775</v>
      </c>
      <c r="N149" s="49">
        <v>944</v>
      </c>
      <c r="O149" s="45">
        <v>715</v>
      </c>
      <c r="P149" s="49">
        <v>831</v>
      </c>
      <c r="Q149" s="45">
        <v>765</v>
      </c>
      <c r="R149" s="49">
        <v>759</v>
      </c>
      <c r="S149" s="45">
        <v>755</v>
      </c>
      <c r="T149" s="49">
        <v>793</v>
      </c>
      <c r="U149" s="45">
        <v>785</v>
      </c>
      <c r="V149" s="49">
        <v>721</v>
      </c>
      <c r="W149" s="45">
        <v>713</v>
      </c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</row>
    <row r="150" spans="1:35" s="2" customFormat="1" ht="12.75">
      <c r="A150" s="9"/>
      <c r="B150" s="22" t="s">
        <v>31</v>
      </c>
      <c r="D150" s="43">
        <v>13</v>
      </c>
      <c r="E150" s="44"/>
      <c r="F150" s="52">
        <f>ROUND((19/1936.27)*1000,0)</f>
        <v>10</v>
      </c>
      <c r="G150" s="45"/>
      <c r="H150" s="49">
        <v>11</v>
      </c>
      <c r="I150" s="45"/>
      <c r="J150" s="49">
        <v>7</v>
      </c>
      <c r="K150" s="45"/>
      <c r="L150" s="49">
        <v>7</v>
      </c>
      <c r="M150" s="45"/>
      <c r="N150" s="49">
        <v>8</v>
      </c>
      <c r="O150" s="45"/>
      <c r="P150" s="49">
        <v>11</v>
      </c>
      <c r="Q150" s="45"/>
      <c r="R150" s="49">
        <v>12</v>
      </c>
      <c r="S150" s="45"/>
      <c r="T150" s="49">
        <v>9</v>
      </c>
      <c r="U150" s="45"/>
      <c r="V150" s="49">
        <v>3</v>
      </c>
      <c r="W150" s="45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</row>
    <row r="151" spans="1:35" s="2" customFormat="1" ht="12.75">
      <c r="A151" s="9"/>
      <c r="B151" s="22" t="s">
        <v>106</v>
      </c>
      <c r="D151" s="43">
        <v>0</v>
      </c>
      <c r="E151" s="44">
        <v>0</v>
      </c>
      <c r="F151" s="52">
        <v>0</v>
      </c>
      <c r="G151" s="45">
        <v>0</v>
      </c>
      <c r="H151" s="49">
        <v>0</v>
      </c>
      <c r="I151" s="45">
        <v>0</v>
      </c>
      <c r="J151" s="49">
        <v>102</v>
      </c>
      <c r="K151" s="45"/>
      <c r="L151" s="49">
        <v>168</v>
      </c>
      <c r="M151" s="45"/>
      <c r="N151" s="49">
        <v>131</v>
      </c>
      <c r="O151" s="45"/>
      <c r="P151" s="49">
        <v>148</v>
      </c>
      <c r="Q151" s="45"/>
      <c r="R151" s="49">
        <v>92</v>
      </c>
      <c r="S151" s="45"/>
      <c r="T151" s="49">
        <v>72</v>
      </c>
      <c r="U151" s="45"/>
      <c r="V151" s="49">
        <v>76</v>
      </c>
      <c r="W151" s="45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</row>
    <row r="152" spans="1:35" s="2" customFormat="1" ht="12.75">
      <c r="A152" s="149" t="s">
        <v>66</v>
      </c>
      <c r="B152" s="118"/>
      <c r="C152" s="118"/>
      <c r="D152" s="148">
        <f aca="true" t="shared" si="32" ref="D152:W152">+D165+D173+D181+D189+D197+D205+D213+D221+D229+D153</f>
        <v>40562</v>
      </c>
      <c r="E152" s="148">
        <f t="shared" si="32"/>
        <v>1513</v>
      </c>
      <c r="F152" s="148">
        <f t="shared" si="32"/>
        <v>44913.5</v>
      </c>
      <c r="G152" s="148">
        <f t="shared" si="32"/>
        <v>2776</v>
      </c>
      <c r="H152" s="148">
        <f t="shared" si="32"/>
        <v>46501</v>
      </c>
      <c r="I152" s="148">
        <f t="shared" si="32"/>
        <v>1831.108905266311</v>
      </c>
      <c r="J152" s="148">
        <f t="shared" si="32"/>
        <v>50253</v>
      </c>
      <c r="K152" s="148">
        <f t="shared" si="32"/>
        <v>3986</v>
      </c>
      <c r="L152" s="148">
        <f t="shared" si="32"/>
        <v>55659</v>
      </c>
      <c r="M152" s="148">
        <f t="shared" si="32"/>
        <v>6041</v>
      </c>
      <c r="N152" s="148">
        <f t="shared" si="32"/>
        <v>64486</v>
      </c>
      <c r="O152" s="148">
        <f t="shared" si="32"/>
        <v>9284</v>
      </c>
      <c r="P152" s="148">
        <f t="shared" si="32"/>
        <v>62292</v>
      </c>
      <c r="Q152" s="148">
        <f t="shared" si="32"/>
        <v>8177</v>
      </c>
      <c r="R152" s="148">
        <f t="shared" si="32"/>
        <v>63780</v>
      </c>
      <c r="S152" s="148">
        <f t="shared" si="32"/>
        <v>5338</v>
      </c>
      <c r="T152" s="148">
        <f t="shared" si="32"/>
        <v>66613</v>
      </c>
      <c r="U152" s="148">
        <f t="shared" si="32"/>
        <v>7061</v>
      </c>
      <c r="V152" s="148">
        <f t="shared" si="32"/>
        <v>69441</v>
      </c>
      <c r="W152" s="148">
        <f t="shared" si="32"/>
        <v>7679</v>
      </c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</row>
    <row r="153" spans="1:35" s="2" customFormat="1" ht="12.75">
      <c r="A153" s="121" t="s">
        <v>146</v>
      </c>
      <c r="B153" s="115"/>
      <c r="C153" s="115"/>
      <c r="D153" s="62">
        <f>SUM(D154:D164)</f>
        <v>15282</v>
      </c>
      <c r="E153" s="62">
        <f aca="true" t="shared" si="33" ref="E153:W153">SUM(E154:E164)</f>
        <v>1492</v>
      </c>
      <c r="F153" s="62">
        <f t="shared" si="33"/>
        <v>17436</v>
      </c>
      <c r="G153" s="62">
        <f t="shared" si="33"/>
        <v>2171</v>
      </c>
      <c r="H153" s="62">
        <f t="shared" si="33"/>
        <v>17874</v>
      </c>
      <c r="I153" s="62">
        <f t="shared" si="33"/>
        <v>1812</v>
      </c>
      <c r="J153" s="62">
        <f t="shared" si="33"/>
        <v>20140</v>
      </c>
      <c r="K153" s="62">
        <f t="shared" si="33"/>
        <v>3955</v>
      </c>
      <c r="L153" s="62">
        <f t="shared" si="33"/>
        <v>23528</v>
      </c>
      <c r="M153" s="62">
        <f t="shared" si="33"/>
        <v>6023</v>
      </c>
      <c r="N153" s="62">
        <f t="shared" si="33"/>
        <v>32076</v>
      </c>
      <c r="O153" s="62">
        <f t="shared" si="33"/>
        <v>9262</v>
      </c>
      <c r="P153" s="62">
        <f t="shared" si="33"/>
        <v>28117</v>
      </c>
      <c r="Q153" s="62">
        <f t="shared" si="33"/>
        <v>8079</v>
      </c>
      <c r="R153" s="62">
        <f t="shared" si="33"/>
        <v>28642</v>
      </c>
      <c r="S153" s="62">
        <f t="shared" si="33"/>
        <v>5056</v>
      </c>
      <c r="T153" s="62">
        <f t="shared" si="33"/>
        <v>29253</v>
      </c>
      <c r="U153" s="62">
        <f t="shared" si="33"/>
        <v>6070</v>
      </c>
      <c r="V153" s="62">
        <f t="shared" si="33"/>
        <v>30465</v>
      </c>
      <c r="W153" s="62">
        <f t="shared" si="33"/>
        <v>6326</v>
      </c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</row>
    <row r="154" spans="1:35" s="2" customFormat="1" ht="12.75">
      <c r="A154" s="27"/>
      <c r="B154" s="22" t="s">
        <v>7</v>
      </c>
      <c r="D154" s="43">
        <v>540</v>
      </c>
      <c r="E154" s="44"/>
      <c r="F154" s="52">
        <v>967</v>
      </c>
      <c r="G154" s="45">
        <v>8</v>
      </c>
      <c r="H154" s="43">
        <v>876</v>
      </c>
      <c r="I154" s="49"/>
      <c r="J154" s="43">
        <v>919</v>
      </c>
      <c r="K154" s="49">
        <v>7</v>
      </c>
      <c r="L154" s="43">
        <v>60</v>
      </c>
      <c r="M154" s="49">
        <v>7</v>
      </c>
      <c r="N154" s="43">
        <v>42</v>
      </c>
      <c r="O154" s="49">
        <v>42</v>
      </c>
      <c r="P154" s="43">
        <v>19</v>
      </c>
      <c r="Q154" s="49"/>
      <c r="R154" s="43"/>
      <c r="S154" s="49"/>
      <c r="T154" s="43">
        <v>74</v>
      </c>
      <c r="U154" s="49"/>
      <c r="V154" s="43">
        <v>132</v>
      </c>
      <c r="W154" s="49">
        <v>129</v>
      </c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</row>
    <row r="155" spans="1:35" s="2" customFormat="1" ht="12.75">
      <c r="A155" s="27"/>
      <c r="B155" s="21" t="s">
        <v>27</v>
      </c>
      <c r="D155" s="43">
        <v>6312</v>
      </c>
      <c r="E155" s="44">
        <v>900</v>
      </c>
      <c r="F155" s="52">
        <f>ROUND((12765/1936.27)*1000,0)</f>
        <v>6593</v>
      </c>
      <c r="G155" s="45">
        <f>+ROUND(1834790/1936.27,0)</f>
        <v>948</v>
      </c>
      <c r="H155" s="43">
        <v>6410</v>
      </c>
      <c r="I155" s="49">
        <f>ROUND((1847271/1936.27),0)</f>
        <v>954</v>
      </c>
      <c r="J155" s="43">
        <v>6203</v>
      </c>
      <c r="K155" s="49">
        <v>910</v>
      </c>
      <c r="L155" s="43">
        <v>6123</v>
      </c>
      <c r="M155" s="49">
        <v>861</v>
      </c>
      <c r="N155" s="43">
        <v>8244</v>
      </c>
      <c r="O155" s="49">
        <v>1380</v>
      </c>
      <c r="P155" s="43">
        <v>8050</v>
      </c>
      <c r="Q155" s="49">
        <v>1453</v>
      </c>
      <c r="R155" s="43">
        <v>8242</v>
      </c>
      <c r="S155" s="49">
        <v>1225</v>
      </c>
      <c r="T155" s="43">
        <v>9081</v>
      </c>
      <c r="U155" s="49">
        <v>449</v>
      </c>
      <c r="V155" s="43">
        <v>12227</v>
      </c>
      <c r="W155" s="49">
        <v>2324</v>
      </c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</row>
    <row r="156" spans="1:35" s="2" customFormat="1" ht="12.75">
      <c r="A156" s="27"/>
      <c r="B156" s="21" t="s">
        <v>88</v>
      </c>
      <c r="D156" s="43"/>
      <c r="E156" s="44"/>
      <c r="F156" s="52"/>
      <c r="G156" s="45"/>
      <c r="H156" s="43"/>
      <c r="I156" s="49"/>
      <c r="J156" s="43">
        <v>1041</v>
      </c>
      <c r="K156" s="49">
        <v>424</v>
      </c>
      <c r="L156" s="43">
        <v>1910</v>
      </c>
      <c r="M156" s="49">
        <v>830</v>
      </c>
      <c r="N156" s="43">
        <v>1117</v>
      </c>
      <c r="O156" s="49">
        <v>153</v>
      </c>
      <c r="P156" s="43">
        <v>1803</v>
      </c>
      <c r="Q156" s="49">
        <v>1715</v>
      </c>
      <c r="R156" s="43">
        <v>1612</v>
      </c>
      <c r="S156" s="49">
        <v>772</v>
      </c>
      <c r="T156" s="43">
        <v>2606</v>
      </c>
      <c r="U156" s="49">
        <v>1627</v>
      </c>
      <c r="V156" s="43">
        <v>1801</v>
      </c>
      <c r="W156" s="49">
        <v>855</v>
      </c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</row>
    <row r="157" spans="1:35" s="2" customFormat="1" ht="12.75">
      <c r="A157" s="27"/>
      <c r="B157" s="21" t="s">
        <v>87</v>
      </c>
      <c r="D157" s="43"/>
      <c r="E157" s="44"/>
      <c r="F157" s="52"/>
      <c r="G157" s="45"/>
      <c r="H157" s="43"/>
      <c r="I157" s="49"/>
      <c r="J157" s="43">
        <v>368</v>
      </c>
      <c r="K157" s="49"/>
      <c r="L157" s="43">
        <v>1198</v>
      </c>
      <c r="M157" s="49">
        <v>366</v>
      </c>
      <c r="N157" s="43">
        <v>5330</v>
      </c>
      <c r="O157" s="49">
        <v>4424</v>
      </c>
      <c r="P157" s="43">
        <v>1282</v>
      </c>
      <c r="Q157" s="49">
        <v>527</v>
      </c>
      <c r="R157" s="43">
        <v>855</v>
      </c>
      <c r="S157" s="49">
        <v>229</v>
      </c>
      <c r="T157" s="43">
        <v>851</v>
      </c>
      <c r="U157" s="49">
        <v>152</v>
      </c>
      <c r="V157" s="43">
        <v>456</v>
      </c>
      <c r="W157" s="49">
        <v>130</v>
      </c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</row>
    <row r="158" spans="1:35" s="2" customFormat="1" ht="12.75">
      <c r="A158" s="112"/>
      <c r="B158" s="23" t="s">
        <v>83</v>
      </c>
      <c r="D158" s="88">
        <v>1197</v>
      </c>
      <c r="E158" s="89">
        <v>247</v>
      </c>
      <c r="F158" s="93">
        <f>ROUND((2752/1936.27)*1000,0)</f>
        <v>1421</v>
      </c>
      <c r="G158" s="92">
        <f>ROUND(570922/1936.27,0)</f>
        <v>295</v>
      </c>
      <c r="H158" s="88">
        <v>2015</v>
      </c>
      <c r="I158" s="63">
        <f>ROUND((850534/1936.27),0)</f>
        <v>439</v>
      </c>
      <c r="J158" s="88"/>
      <c r="K158" s="63"/>
      <c r="L158" s="88"/>
      <c r="M158" s="63"/>
      <c r="N158" s="88"/>
      <c r="O158" s="63"/>
      <c r="P158" s="88"/>
      <c r="Q158" s="63"/>
      <c r="R158" s="88"/>
      <c r="S158" s="63"/>
      <c r="T158" s="88"/>
      <c r="U158" s="63"/>
      <c r="V158" s="88"/>
      <c r="W158" s="63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</row>
    <row r="159" spans="1:35" s="2" customFormat="1" ht="12.75">
      <c r="A159" s="27"/>
      <c r="B159" s="21" t="s">
        <v>28</v>
      </c>
      <c r="D159" s="43">
        <v>2576</v>
      </c>
      <c r="E159" s="44">
        <f>177+140+28</f>
        <v>345</v>
      </c>
      <c r="F159" s="52">
        <f>ROUND((6537/1936.27)*1000,0)</f>
        <v>3376</v>
      </c>
      <c r="G159" s="45">
        <f>ROUND(1533955/1936.27,0)</f>
        <v>792</v>
      </c>
      <c r="H159" s="43">
        <v>2520</v>
      </c>
      <c r="I159" s="49">
        <f>ROUND((244356/1936.27),0)</f>
        <v>126</v>
      </c>
      <c r="J159" s="43">
        <v>3837</v>
      </c>
      <c r="K159" s="49">
        <v>1233</v>
      </c>
      <c r="L159" s="43">
        <v>4286</v>
      </c>
      <c r="M159" s="49">
        <v>1291</v>
      </c>
      <c r="N159" s="43">
        <v>4777</v>
      </c>
      <c r="O159" s="49">
        <v>1497</v>
      </c>
      <c r="P159" s="43">
        <v>4810</v>
      </c>
      <c r="Q159" s="49">
        <v>1196</v>
      </c>
      <c r="R159" s="43">
        <v>4309</v>
      </c>
      <c r="S159" s="49">
        <v>748</v>
      </c>
      <c r="T159" s="43">
        <v>4231</v>
      </c>
      <c r="U159" s="49">
        <v>946</v>
      </c>
      <c r="V159" s="43">
        <v>4588</v>
      </c>
      <c r="W159" s="49">
        <v>1060</v>
      </c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</row>
    <row r="160" spans="1:35" s="2" customFormat="1" ht="12.75">
      <c r="A160" s="27"/>
      <c r="B160" s="21" t="s">
        <v>72</v>
      </c>
      <c r="D160" s="43">
        <f>3496-1</f>
        <v>3495</v>
      </c>
      <c r="E160" s="44"/>
      <c r="F160" s="52">
        <f>ROUND((7815/1936.27)*1000,0)</f>
        <v>4036</v>
      </c>
      <c r="G160" s="45"/>
      <c r="H160" s="43">
        <v>4063</v>
      </c>
      <c r="I160" s="45"/>
      <c r="J160" s="43">
        <v>5251</v>
      </c>
      <c r="K160" s="45">
        <v>838</v>
      </c>
      <c r="L160" s="43">
        <v>5775</v>
      </c>
      <c r="M160" s="45">
        <v>1190</v>
      </c>
      <c r="N160" s="43">
        <v>7770</v>
      </c>
      <c r="O160" s="45">
        <v>302</v>
      </c>
      <c r="P160" s="43">
        <v>6961</v>
      </c>
      <c r="Q160" s="45">
        <v>1955</v>
      </c>
      <c r="R160" s="43">
        <v>8188</v>
      </c>
      <c r="S160" s="45">
        <v>930</v>
      </c>
      <c r="T160" s="43">
        <v>8255</v>
      </c>
      <c r="U160" s="45">
        <v>1262</v>
      </c>
      <c r="V160" s="43">
        <v>7990</v>
      </c>
      <c r="W160" s="45">
        <v>783</v>
      </c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</row>
    <row r="161" spans="1:35" s="2" customFormat="1" ht="12.75">
      <c r="A161" s="27"/>
      <c r="B161" s="21" t="s">
        <v>176</v>
      </c>
      <c r="D161" s="43"/>
      <c r="E161" s="44"/>
      <c r="F161" s="52"/>
      <c r="G161" s="45"/>
      <c r="H161" s="43"/>
      <c r="I161" s="45"/>
      <c r="J161" s="43"/>
      <c r="K161" s="45"/>
      <c r="L161" s="43">
        <v>456</v>
      </c>
      <c r="M161" s="45">
        <v>443</v>
      </c>
      <c r="N161" s="43">
        <v>878</v>
      </c>
      <c r="O161" s="45">
        <v>431</v>
      </c>
      <c r="P161" s="43">
        <v>1137</v>
      </c>
      <c r="Q161" s="45">
        <v>147</v>
      </c>
      <c r="R161" s="43">
        <v>1304</v>
      </c>
      <c r="S161" s="45">
        <v>65</v>
      </c>
      <c r="T161" s="43">
        <v>240</v>
      </c>
      <c r="U161" s="45">
        <v>74</v>
      </c>
      <c r="V161" s="43">
        <v>225</v>
      </c>
      <c r="W161" s="45">
        <v>42</v>
      </c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</row>
    <row r="162" spans="1:35" s="2" customFormat="1" ht="12.75">
      <c r="A162" s="27"/>
      <c r="B162" s="21" t="s">
        <v>175</v>
      </c>
      <c r="D162" s="43"/>
      <c r="E162" s="44"/>
      <c r="F162" s="52"/>
      <c r="G162" s="45"/>
      <c r="H162" s="43"/>
      <c r="I162" s="45"/>
      <c r="J162" s="43"/>
      <c r="K162" s="45"/>
      <c r="L162" s="43"/>
      <c r="M162" s="45"/>
      <c r="N162" s="43"/>
      <c r="O162" s="45"/>
      <c r="P162" s="43"/>
      <c r="Q162" s="45"/>
      <c r="R162" s="43"/>
      <c r="S162" s="45"/>
      <c r="T162" s="43"/>
      <c r="U162" s="45"/>
      <c r="V162" s="43">
        <v>100</v>
      </c>
      <c r="W162" s="45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</row>
    <row r="163" spans="1:35" s="2" customFormat="1" ht="12.75">
      <c r="A163" s="27"/>
      <c r="B163" s="10" t="s">
        <v>122</v>
      </c>
      <c r="D163" s="43"/>
      <c r="E163" s="44"/>
      <c r="F163" s="52"/>
      <c r="G163" s="45"/>
      <c r="H163" s="43"/>
      <c r="I163" s="45"/>
      <c r="J163" s="43"/>
      <c r="K163" s="45"/>
      <c r="L163" s="43">
        <v>1310</v>
      </c>
      <c r="M163" s="45">
        <v>549</v>
      </c>
      <c r="N163" s="43">
        <v>1306</v>
      </c>
      <c r="O163" s="45">
        <v>516</v>
      </c>
      <c r="P163" s="43">
        <v>1018</v>
      </c>
      <c r="Q163" s="45">
        <v>569</v>
      </c>
      <c r="R163" s="43">
        <v>1275</v>
      </c>
      <c r="S163" s="45">
        <v>674</v>
      </c>
      <c r="T163" s="43">
        <v>1315</v>
      </c>
      <c r="U163" s="45">
        <v>888</v>
      </c>
      <c r="V163" s="43">
        <v>658</v>
      </c>
      <c r="W163" s="45">
        <v>216</v>
      </c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</row>
    <row r="164" spans="1:35" s="2" customFormat="1" ht="12.75">
      <c r="A164" s="27"/>
      <c r="B164" s="21" t="s">
        <v>89</v>
      </c>
      <c r="D164" s="43">
        <v>1162</v>
      </c>
      <c r="E164" s="44"/>
      <c r="F164" s="52">
        <f>ROUND((2019/1936.27)*1000,0)</f>
        <v>1043</v>
      </c>
      <c r="G164" s="45">
        <f>ROUND(247831/1936.27,0)</f>
        <v>128</v>
      </c>
      <c r="H164" s="43">
        <v>1990</v>
      </c>
      <c r="I164" s="45">
        <f>ROUND((568177/1936.27),0)</f>
        <v>293</v>
      </c>
      <c r="J164" s="43">
        <v>2521</v>
      </c>
      <c r="K164" s="45">
        <v>543</v>
      </c>
      <c r="L164" s="43">
        <v>2410</v>
      </c>
      <c r="M164" s="45">
        <v>486</v>
      </c>
      <c r="N164" s="43">
        <v>2612</v>
      </c>
      <c r="O164" s="45">
        <v>517</v>
      </c>
      <c r="P164" s="43">
        <v>3037</v>
      </c>
      <c r="Q164" s="45">
        <v>517</v>
      </c>
      <c r="R164" s="43">
        <v>2857</v>
      </c>
      <c r="S164" s="45">
        <v>413</v>
      </c>
      <c r="T164" s="43">
        <v>2600</v>
      </c>
      <c r="U164" s="45">
        <v>672</v>
      </c>
      <c r="V164" s="43">
        <v>2288</v>
      </c>
      <c r="W164" s="45">
        <v>787</v>
      </c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</row>
    <row r="165" spans="1:35" s="2" customFormat="1" ht="12.75">
      <c r="A165" s="114" t="s">
        <v>32</v>
      </c>
      <c r="B165" s="115"/>
      <c r="C165" s="115"/>
      <c r="D165" s="62">
        <f>SUM(D166:D172)</f>
        <v>1496</v>
      </c>
      <c r="E165" s="62">
        <f>SUM(E166:E172)</f>
        <v>0</v>
      </c>
      <c r="F165" s="62">
        <f>SUM(F166:F172)</f>
        <v>1577</v>
      </c>
      <c r="G165" s="62">
        <f>SUM(G166:G172)</f>
        <v>0</v>
      </c>
      <c r="H165" s="62">
        <f>SUM(H166:H172)+1</f>
        <v>1657</v>
      </c>
      <c r="I165" s="62">
        <f aca="true" t="shared" si="34" ref="I165:O165">SUM(I166:I172)</f>
        <v>0</v>
      </c>
      <c r="J165" s="62">
        <f t="shared" si="34"/>
        <v>1762</v>
      </c>
      <c r="K165" s="62">
        <f t="shared" si="34"/>
        <v>0</v>
      </c>
      <c r="L165" s="62">
        <f t="shared" si="34"/>
        <v>1864</v>
      </c>
      <c r="M165" s="62">
        <f t="shared" si="34"/>
        <v>0</v>
      </c>
      <c r="N165" s="62">
        <f t="shared" si="34"/>
        <v>1893</v>
      </c>
      <c r="O165" s="62">
        <f t="shared" si="34"/>
        <v>0</v>
      </c>
      <c r="P165" s="62">
        <f aca="true" t="shared" si="35" ref="P165:W165">SUM(P166:P172)</f>
        <v>2163</v>
      </c>
      <c r="Q165" s="62">
        <f t="shared" si="35"/>
        <v>0</v>
      </c>
      <c r="R165" s="62">
        <f t="shared" si="35"/>
        <v>2184</v>
      </c>
      <c r="S165" s="62">
        <f t="shared" si="35"/>
        <v>30</v>
      </c>
      <c r="T165" s="62">
        <f t="shared" si="35"/>
        <v>2210</v>
      </c>
      <c r="U165" s="62">
        <f t="shared" si="35"/>
        <v>27</v>
      </c>
      <c r="V165" s="62">
        <f t="shared" si="35"/>
        <v>2464</v>
      </c>
      <c r="W165" s="62">
        <f t="shared" si="35"/>
        <v>247</v>
      </c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</row>
    <row r="166" spans="1:35" s="2" customFormat="1" ht="12.75">
      <c r="A166" s="10"/>
      <c r="B166" s="10" t="s">
        <v>33</v>
      </c>
      <c r="D166" s="74">
        <f>ROUND(303*1000/1936.27,0)</f>
        <v>156</v>
      </c>
      <c r="E166" s="107"/>
      <c r="F166" s="74">
        <f>ROUND(474*1000/1936.27,0)</f>
        <v>245</v>
      </c>
      <c r="G166" s="52"/>
      <c r="H166" s="74">
        <f>ROUND((508000/1936.27),0)</f>
        <v>262</v>
      </c>
      <c r="I166" s="50"/>
      <c r="J166" s="74">
        <v>281</v>
      </c>
      <c r="K166" s="50"/>
      <c r="L166" s="74">
        <v>229</v>
      </c>
      <c r="M166" s="50"/>
      <c r="N166" s="74">
        <v>259</v>
      </c>
      <c r="O166" s="50"/>
      <c r="P166" s="74">
        <v>306</v>
      </c>
      <c r="Q166" s="50"/>
      <c r="R166" s="74">
        <v>225</v>
      </c>
      <c r="S166" s="50"/>
      <c r="T166" s="74">
        <v>225</v>
      </c>
      <c r="U166" s="50"/>
      <c r="V166" s="74">
        <v>255</v>
      </c>
      <c r="W166" s="50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</row>
    <row r="167" spans="1:35" s="2" customFormat="1" ht="12.75">
      <c r="A167" s="10"/>
      <c r="B167" s="10" t="s">
        <v>34</v>
      </c>
      <c r="D167" s="74">
        <f>ROUND(1868*1000/1936.27,0)</f>
        <v>965</v>
      </c>
      <c r="E167" s="108"/>
      <c r="F167" s="74">
        <f>ROUND(1825*1000/1936.27,0)</f>
        <v>943</v>
      </c>
      <c r="G167" s="50"/>
      <c r="H167" s="74">
        <f>ROUND((1833000/1936.27),0)</f>
        <v>947</v>
      </c>
      <c r="I167" s="50"/>
      <c r="J167" s="74">
        <v>959</v>
      </c>
      <c r="K167" s="50"/>
      <c r="L167" s="74">
        <v>1093</v>
      </c>
      <c r="M167" s="50"/>
      <c r="N167" s="74">
        <v>1088</v>
      </c>
      <c r="O167" s="50"/>
      <c r="P167" s="74">
        <v>1286</v>
      </c>
      <c r="Q167" s="50"/>
      <c r="R167" s="74">
        <v>1260</v>
      </c>
      <c r="S167" s="50">
        <v>30</v>
      </c>
      <c r="T167" s="74">
        <v>1237</v>
      </c>
      <c r="U167" s="50">
        <v>27</v>
      </c>
      <c r="V167" s="74">
        <v>1337</v>
      </c>
      <c r="W167" s="50">
        <v>247</v>
      </c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</row>
    <row r="168" spans="1:35" s="2" customFormat="1" ht="12.75">
      <c r="A168" s="10"/>
      <c r="B168" s="10" t="s">
        <v>35</v>
      </c>
      <c r="D168" s="74">
        <f>ROUND(0*1000/1936.27,0)</f>
        <v>0</v>
      </c>
      <c r="E168" s="108"/>
      <c r="F168" s="74">
        <v>0</v>
      </c>
      <c r="G168" s="50"/>
      <c r="H168" s="74">
        <v>0</v>
      </c>
      <c r="I168" s="50"/>
      <c r="J168" s="74">
        <v>7</v>
      </c>
      <c r="K168" s="50"/>
      <c r="L168" s="74">
        <v>7</v>
      </c>
      <c r="M168" s="50"/>
      <c r="N168" s="74">
        <v>1</v>
      </c>
      <c r="O168" s="50"/>
      <c r="P168" s="74">
        <v>7</v>
      </c>
      <c r="Q168" s="50"/>
      <c r="R168" s="74"/>
      <c r="S168" s="50"/>
      <c r="T168" s="74"/>
      <c r="U168" s="50"/>
      <c r="V168" s="74"/>
      <c r="W168" s="50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</row>
    <row r="169" spans="1:35" s="2" customFormat="1" ht="12.75">
      <c r="A169" s="10"/>
      <c r="B169" s="10" t="s">
        <v>177</v>
      </c>
      <c r="D169" s="74"/>
      <c r="E169" s="108"/>
      <c r="F169" s="74"/>
      <c r="G169" s="50"/>
      <c r="H169" s="74"/>
      <c r="I169" s="50"/>
      <c r="J169" s="74"/>
      <c r="K169" s="50"/>
      <c r="L169" s="74"/>
      <c r="M169" s="50"/>
      <c r="N169" s="74"/>
      <c r="O169" s="50"/>
      <c r="P169" s="74"/>
      <c r="Q169" s="50"/>
      <c r="R169" s="74"/>
      <c r="S169" s="50"/>
      <c r="T169" s="74"/>
      <c r="U169" s="50"/>
      <c r="V169" s="74">
        <v>5</v>
      </c>
      <c r="W169" s="50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</row>
    <row r="170" spans="1:35" s="2" customFormat="1" ht="13.5" customHeight="1">
      <c r="A170" s="10"/>
      <c r="B170" s="10" t="s">
        <v>36</v>
      </c>
      <c r="D170" s="74">
        <f>ROUND(34*1000/1936.27,0)</f>
        <v>18</v>
      </c>
      <c r="E170" s="108"/>
      <c r="F170" s="74">
        <f>ROUND(28*1000/1936.27,0)</f>
        <v>14</v>
      </c>
      <c r="G170" s="50"/>
      <c r="H170" s="74">
        <f>ROUND((30000/1936.27),0)</f>
        <v>15</v>
      </c>
      <c r="I170" s="50"/>
      <c r="J170" s="74">
        <v>15</v>
      </c>
      <c r="K170" s="50"/>
      <c r="L170" s="74">
        <v>63</v>
      </c>
      <c r="M170" s="50"/>
      <c r="N170" s="74">
        <v>66</v>
      </c>
      <c r="O170" s="50"/>
      <c r="P170" s="74">
        <v>63</v>
      </c>
      <c r="Q170" s="50"/>
      <c r="R170" s="74">
        <v>67</v>
      </c>
      <c r="S170" s="50"/>
      <c r="T170" s="74">
        <v>68</v>
      </c>
      <c r="U170" s="50"/>
      <c r="V170" s="74">
        <v>92</v>
      </c>
      <c r="W170" s="50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</row>
    <row r="171" spans="1:35" s="2" customFormat="1" ht="12.75">
      <c r="A171" s="10"/>
      <c r="B171" s="10" t="s">
        <v>122</v>
      </c>
      <c r="D171" s="74">
        <f>ROUND((595-34)*1000/1936.27,0)</f>
        <v>290</v>
      </c>
      <c r="E171" s="108"/>
      <c r="F171" s="74">
        <f>ROUND((603-28)*1000/1936.27,0)</f>
        <v>297</v>
      </c>
      <c r="G171" s="50"/>
      <c r="H171" s="74">
        <f>ROUND((664000/1936.27),0)</f>
        <v>343</v>
      </c>
      <c r="I171" s="50"/>
      <c r="J171" s="74">
        <v>262</v>
      </c>
      <c r="K171" s="50"/>
      <c r="L171" s="74">
        <v>256</v>
      </c>
      <c r="M171" s="50"/>
      <c r="N171" s="74">
        <v>311</v>
      </c>
      <c r="O171" s="50"/>
      <c r="P171" s="74">
        <v>330</v>
      </c>
      <c r="Q171" s="50"/>
      <c r="R171" s="74">
        <v>461</v>
      </c>
      <c r="S171" s="50"/>
      <c r="T171" s="74">
        <v>508</v>
      </c>
      <c r="U171" s="50"/>
      <c r="V171" s="74">
        <v>610</v>
      </c>
      <c r="W171" s="50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</row>
    <row r="172" spans="1:35" s="2" customFormat="1" ht="12.75">
      <c r="A172" s="10"/>
      <c r="B172" s="10" t="s">
        <v>123</v>
      </c>
      <c r="D172" s="74">
        <v>67</v>
      </c>
      <c r="E172" s="74">
        <v>0</v>
      </c>
      <c r="F172" s="74">
        <v>78</v>
      </c>
      <c r="G172" s="74">
        <v>0</v>
      </c>
      <c r="H172" s="74">
        <v>89</v>
      </c>
      <c r="I172" s="74">
        <v>0</v>
      </c>
      <c r="J172" s="74">
        <v>238</v>
      </c>
      <c r="K172" s="74">
        <v>0</v>
      </c>
      <c r="L172" s="74">
        <v>216</v>
      </c>
      <c r="M172" s="74">
        <v>0</v>
      </c>
      <c r="N172" s="74">
        <v>168</v>
      </c>
      <c r="O172" s="74">
        <v>0</v>
      </c>
      <c r="P172" s="74">
        <v>171</v>
      </c>
      <c r="Q172" s="74"/>
      <c r="R172" s="74">
        <v>171</v>
      </c>
      <c r="S172" s="74"/>
      <c r="T172" s="74">
        <v>172</v>
      </c>
      <c r="U172" s="74"/>
      <c r="V172" s="74">
        <v>165</v>
      </c>
      <c r="W172" s="74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</row>
    <row r="173" spans="1:35" s="2" customFormat="1" ht="12.75">
      <c r="A173" s="114" t="s">
        <v>37</v>
      </c>
      <c r="B173" s="115"/>
      <c r="C173" s="115"/>
      <c r="D173" s="62">
        <f aca="true" t="shared" si="36" ref="D173:O173">SUM(D174:D180)</f>
        <v>4133</v>
      </c>
      <c r="E173" s="62">
        <f t="shared" si="36"/>
        <v>0</v>
      </c>
      <c r="F173" s="62">
        <f t="shared" si="36"/>
        <v>4448</v>
      </c>
      <c r="G173" s="62">
        <f t="shared" si="36"/>
        <v>53</v>
      </c>
      <c r="H173" s="62">
        <f t="shared" si="36"/>
        <v>4778</v>
      </c>
      <c r="I173" s="62">
        <f t="shared" si="36"/>
        <v>3.6151982936264053</v>
      </c>
      <c r="J173" s="62">
        <f t="shared" si="36"/>
        <v>5164</v>
      </c>
      <c r="K173" s="62">
        <f t="shared" si="36"/>
        <v>0</v>
      </c>
      <c r="L173" s="62">
        <f t="shared" si="36"/>
        <v>5400</v>
      </c>
      <c r="M173" s="62">
        <f t="shared" si="36"/>
        <v>4</v>
      </c>
      <c r="N173" s="62">
        <f t="shared" si="36"/>
        <v>5354</v>
      </c>
      <c r="O173" s="62">
        <f t="shared" si="36"/>
        <v>2</v>
      </c>
      <c r="P173" s="62">
        <f aca="true" t="shared" si="37" ref="P173:W173">SUM(P174:P180)</f>
        <v>5800</v>
      </c>
      <c r="Q173" s="62">
        <f t="shared" si="37"/>
        <v>4</v>
      </c>
      <c r="R173" s="62">
        <f t="shared" si="37"/>
        <v>6279</v>
      </c>
      <c r="S173" s="62">
        <f t="shared" si="37"/>
        <v>100</v>
      </c>
      <c r="T173" s="62">
        <f t="shared" si="37"/>
        <v>6372</v>
      </c>
      <c r="U173" s="62">
        <f t="shared" si="37"/>
        <v>84</v>
      </c>
      <c r="V173" s="62">
        <f t="shared" si="37"/>
        <v>6757</v>
      </c>
      <c r="W173" s="62">
        <f t="shared" si="37"/>
        <v>176</v>
      </c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</row>
    <row r="174" spans="1:23" ht="12.75">
      <c r="A174" s="10"/>
      <c r="B174" s="10" t="s">
        <v>33</v>
      </c>
      <c r="D174" s="74">
        <f>ROUND(451*1000/1936.27,0)</f>
        <v>233</v>
      </c>
      <c r="E174" s="107"/>
      <c r="F174" s="74">
        <f>ROUND(376*1000/1936.27,0)</f>
        <v>194</v>
      </c>
      <c r="G174" s="50"/>
      <c r="H174" s="74">
        <f>ROUND((518000/1936.27),0)</f>
        <v>268</v>
      </c>
      <c r="I174" s="50">
        <f>7/1.93627</f>
        <v>3.6151982936264053</v>
      </c>
      <c r="J174" s="74">
        <v>205</v>
      </c>
      <c r="K174" s="50"/>
      <c r="L174" s="74">
        <v>155</v>
      </c>
      <c r="M174" s="50"/>
      <c r="N174" s="74">
        <v>165</v>
      </c>
      <c r="O174" s="50"/>
      <c r="P174" s="74">
        <v>163</v>
      </c>
      <c r="Q174" s="50"/>
      <c r="R174" s="74">
        <v>202</v>
      </c>
      <c r="S174" s="50"/>
      <c r="T174" s="74">
        <v>181</v>
      </c>
      <c r="U174" s="50"/>
      <c r="V174" s="74">
        <v>152</v>
      </c>
      <c r="W174" s="50"/>
    </row>
    <row r="175" spans="1:23" ht="12.75">
      <c r="A175" s="10"/>
      <c r="B175" s="10" t="s">
        <v>34</v>
      </c>
      <c r="D175" s="74">
        <f>ROUND(5493*1000/1936.27,0)</f>
        <v>2837</v>
      </c>
      <c r="E175" s="108"/>
      <c r="F175" s="74">
        <f>ROUND(6247*1000/1936.27,0)</f>
        <v>3226</v>
      </c>
      <c r="G175" s="50">
        <f>ROUND(103000/1936.27,0)</f>
        <v>53</v>
      </c>
      <c r="H175" s="74">
        <f>ROUND((6390000/1936.27),0)</f>
        <v>3300</v>
      </c>
      <c r="I175" s="50"/>
      <c r="J175" s="74">
        <v>3244</v>
      </c>
      <c r="K175" s="50"/>
      <c r="L175" s="74">
        <v>3393</v>
      </c>
      <c r="M175" s="50"/>
      <c r="N175" s="74">
        <v>3171</v>
      </c>
      <c r="O175" s="50"/>
      <c r="P175" s="74">
        <v>3290</v>
      </c>
      <c r="Q175" s="50"/>
      <c r="R175" s="74">
        <v>3320</v>
      </c>
      <c r="S175" s="50"/>
      <c r="T175" s="74">
        <v>3323</v>
      </c>
      <c r="U175" s="50">
        <v>20</v>
      </c>
      <c r="V175" s="74">
        <v>3286</v>
      </c>
      <c r="W175" s="50"/>
    </row>
    <row r="176" spans="1:23" ht="12.75">
      <c r="A176" s="10"/>
      <c r="B176" s="10" t="s">
        <v>35</v>
      </c>
      <c r="D176" s="74">
        <f>ROUND(0*1000/1936.27,0)</f>
        <v>0</v>
      </c>
      <c r="E176" s="108"/>
      <c r="F176" s="74">
        <v>0</v>
      </c>
      <c r="G176" s="50"/>
      <c r="H176" s="74">
        <v>0</v>
      </c>
      <c r="I176" s="50"/>
      <c r="J176" s="74">
        <v>22</v>
      </c>
      <c r="K176" s="50"/>
      <c r="L176" s="74">
        <v>26</v>
      </c>
      <c r="M176" s="50"/>
      <c r="N176" s="74">
        <v>36</v>
      </c>
      <c r="O176" s="50"/>
      <c r="P176" s="74">
        <v>43</v>
      </c>
      <c r="Q176" s="50"/>
      <c r="R176" s="74"/>
      <c r="S176" s="50"/>
      <c r="T176" s="74"/>
      <c r="U176" s="50"/>
      <c r="V176" s="74"/>
      <c r="W176" s="50"/>
    </row>
    <row r="177" spans="1:23" ht="12.75">
      <c r="A177" s="10"/>
      <c r="B177" s="10" t="s">
        <v>178</v>
      </c>
      <c r="D177" s="74"/>
      <c r="E177" s="108"/>
      <c r="F177" s="74"/>
      <c r="G177" s="50"/>
      <c r="H177" s="74"/>
      <c r="I177" s="50"/>
      <c r="J177" s="74"/>
      <c r="K177" s="50"/>
      <c r="L177" s="74"/>
      <c r="M177" s="50"/>
      <c r="N177" s="74"/>
      <c r="O177" s="50"/>
      <c r="P177" s="74">
        <v>236</v>
      </c>
      <c r="Q177" s="50"/>
      <c r="R177" s="74">
        <v>665</v>
      </c>
      <c r="S177" s="50"/>
      <c r="T177" s="74">
        <v>841</v>
      </c>
      <c r="U177" s="50">
        <v>61</v>
      </c>
      <c r="V177" s="74">
        <v>1135</v>
      </c>
      <c r="W177" s="50">
        <v>126</v>
      </c>
    </row>
    <row r="178" spans="1:23" ht="12.75">
      <c r="A178" s="10"/>
      <c r="B178" s="10" t="s">
        <v>36</v>
      </c>
      <c r="D178" s="74">
        <f>ROUND(118*1000/1936.27,0)</f>
        <v>61</v>
      </c>
      <c r="E178" s="108"/>
      <c r="F178" s="74">
        <f>ROUND(98*1000/1936.27,0)</f>
        <v>51</v>
      </c>
      <c r="G178" s="50"/>
      <c r="H178" s="74">
        <f>ROUND((98000/1936.27),0)</f>
        <v>51</v>
      </c>
      <c r="I178" s="50"/>
      <c r="J178" s="74">
        <v>97</v>
      </c>
      <c r="K178" s="50"/>
      <c r="L178" s="74">
        <v>66</v>
      </c>
      <c r="M178" s="50"/>
      <c r="N178" s="74">
        <v>76</v>
      </c>
      <c r="O178" s="50"/>
      <c r="P178" s="74">
        <v>85</v>
      </c>
      <c r="Q178" s="50"/>
      <c r="R178" s="74">
        <v>92</v>
      </c>
      <c r="S178" s="50"/>
      <c r="T178" s="74">
        <v>92</v>
      </c>
      <c r="U178" s="50"/>
      <c r="V178" s="74">
        <v>92</v>
      </c>
      <c r="W178" s="50"/>
    </row>
    <row r="179" spans="1:23" ht="12.75">
      <c r="A179" s="10"/>
      <c r="B179" s="10" t="s">
        <v>122</v>
      </c>
      <c r="D179" s="74">
        <f>ROUND((1773-118)*1000/1936.27,0)</f>
        <v>855</v>
      </c>
      <c r="E179" s="108"/>
      <c r="F179" s="74">
        <f>ROUND((1644-98)*1000/1936.27,0)</f>
        <v>798</v>
      </c>
      <c r="G179" s="50"/>
      <c r="H179" s="74">
        <f>ROUND(((1934000-98000)/1936.27),0)</f>
        <v>948</v>
      </c>
      <c r="I179" s="50"/>
      <c r="J179" s="74">
        <v>1085</v>
      </c>
      <c r="K179" s="50"/>
      <c r="L179" s="74">
        <v>1128</v>
      </c>
      <c r="M179" s="50"/>
      <c r="N179" s="74">
        <v>1324</v>
      </c>
      <c r="O179" s="50"/>
      <c r="P179" s="74">
        <v>1397</v>
      </c>
      <c r="Q179" s="50"/>
      <c r="R179" s="74">
        <v>1334</v>
      </c>
      <c r="S179" s="50"/>
      <c r="T179" s="74">
        <v>1375</v>
      </c>
      <c r="U179" s="50"/>
      <c r="V179" s="74">
        <v>1456</v>
      </c>
      <c r="W179" s="50"/>
    </row>
    <row r="180" spans="1:23" ht="12.75">
      <c r="A180" s="10"/>
      <c r="B180" s="10" t="s">
        <v>123</v>
      </c>
      <c r="D180" s="74">
        <v>147</v>
      </c>
      <c r="E180" s="74">
        <v>0</v>
      </c>
      <c r="F180" s="74">
        <v>179</v>
      </c>
      <c r="G180" s="74">
        <v>0</v>
      </c>
      <c r="H180" s="74">
        <v>211</v>
      </c>
      <c r="I180" s="74">
        <v>0</v>
      </c>
      <c r="J180" s="74">
        <v>511</v>
      </c>
      <c r="K180" s="74">
        <v>0</v>
      </c>
      <c r="L180" s="74">
        <v>632</v>
      </c>
      <c r="M180" s="74">
        <v>4</v>
      </c>
      <c r="N180" s="74">
        <v>582</v>
      </c>
      <c r="O180" s="74">
        <v>2</v>
      </c>
      <c r="P180" s="74">
        <v>586</v>
      </c>
      <c r="Q180" s="74">
        <v>4</v>
      </c>
      <c r="R180" s="74">
        <v>666</v>
      </c>
      <c r="S180" s="74">
        <v>100</v>
      </c>
      <c r="T180" s="74">
        <v>560</v>
      </c>
      <c r="U180" s="74">
        <v>3</v>
      </c>
      <c r="V180" s="74">
        <v>636</v>
      </c>
      <c r="W180" s="74">
        <v>50</v>
      </c>
    </row>
    <row r="181" spans="1:35" s="2" customFormat="1" ht="12.75">
      <c r="A181" s="114" t="s">
        <v>38</v>
      </c>
      <c r="B181" s="115"/>
      <c r="C181" s="115"/>
      <c r="D181" s="62">
        <f aca="true" t="shared" si="38" ref="D181:O181">SUM(D182:D188)</f>
        <v>2523</v>
      </c>
      <c r="E181" s="62">
        <f t="shared" si="38"/>
        <v>0</v>
      </c>
      <c r="F181" s="62">
        <f t="shared" si="38"/>
        <v>2656</v>
      </c>
      <c r="G181" s="62">
        <f t="shared" si="38"/>
        <v>0</v>
      </c>
      <c r="H181" s="62">
        <f t="shared" si="38"/>
        <v>2762</v>
      </c>
      <c r="I181" s="62">
        <f t="shared" si="38"/>
        <v>0</v>
      </c>
      <c r="J181" s="62">
        <f t="shared" si="38"/>
        <v>2844</v>
      </c>
      <c r="K181" s="62">
        <f t="shared" si="38"/>
        <v>0</v>
      </c>
      <c r="L181" s="62">
        <f t="shared" si="38"/>
        <v>3230</v>
      </c>
      <c r="M181" s="62">
        <f t="shared" si="38"/>
        <v>0</v>
      </c>
      <c r="N181" s="62">
        <f t="shared" si="38"/>
        <v>3343</v>
      </c>
      <c r="O181" s="62">
        <f t="shared" si="38"/>
        <v>0</v>
      </c>
      <c r="P181" s="62">
        <f aca="true" t="shared" si="39" ref="P181:W181">SUM(P182:P188)</f>
        <v>3403</v>
      </c>
      <c r="Q181" s="62">
        <f t="shared" si="39"/>
        <v>0</v>
      </c>
      <c r="R181" s="62">
        <f t="shared" si="39"/>
        <v>3478</v>
      </c>
      <c r="S181" s="62">
        <f t="shared" si="39"/>
        <v>0</v>
      </c>
      <c r="T181" s="62">
        <f t="shared" si="39"/>
        <v>3898</v>
      </c>
      <c r="U181" s="62">
        <f t="shared" si="39"/>
        <v>56</v>
      </c>
      <c r="V181" s="62">
        <f t="shared" si="39"/>
        <v>3945</v>
      </c>
      <c r="W181" s="62">
        <f t="shared" si="39"/>
        <v>77</v>
      </c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</row>
    <row r="182" spans="1:23" ht="12.75">
      <c r="A182" s="10"/>
      <c r="B182" s="10" t="s">
        <v>33</v>
      </c>
      <c r="D182" s="74">
        <f>ROUND(297*1000/1936.27,0)</f>
        <v>153</v>
      </c>
      <c r="E182" s="107"/>
      <c r="F182" s="74">
        <f>ROUND(472*1000/1936.27,0)</f>
        <v>244</v>
      </c>
      <c r="G182" s="50"/>
      <c r="H182" s="74">
        <f>ROUND((472000/1936.27),0)</f>
        <v>244</v>
      </c>
      <c r="I182" s="50"/>
      <c r="J182" s="74">
        <v>170</v>
      </c>
      <c r="K182" s="50"/>
      <c r="L182" s="74">
        <v>178</v>
      </c>
      <c r="M182" s="50"/>
      <c r="N182" s="74">
        <v>156</v>
      </c>
      <c r="O182" s="50"/>
      <c r="P182" s="74">
        <v>112</v>
      </c>
      <c r="Q182" s="50"/>
      <c r="R182" s="74">
        <v>136</v>
      </c>
      <c r="S182" s="50"/>
      <c r="T182" s="74">
        <v>100</v>
      </c>
      <c r="U182" s="50"/>
      <c r="V182" s="74">
        <v>79</v>
      </c>
      <c r="W182" s="50"/>
    </row>
    <row r="183" spans="1:23" ht="12.75">
      <c r="A183" s="10"/>
      <c r="B183" s="10" t="s">
        <v>34</v>
      </c>
      <c r="D183" s="74">
        <f>ROUND(3732*1000/1936.27,0)</f>
        <v>1927</v>
      </c>
      <c r="E183" s="108"/>
      <c r="F183" s="74">
        <f>ROUND(3781*1000/1936.27,0)+1</f>
        <v>1954</v>
      </c>
      <c r="G183" s="50"/>
      <c r="H183" s="74">
        <f>ROUND((3882000/1936.27),0)</f>
        <v>2005</v>
      </c>
      <c r="I183" s="50"/>
      <c r="J183" s="74">
        <v>2041</v>
      </c>
      <c r="K183" s="50"/>
      <c r="L183" s="74">
        <v>1975</v>
      </c>
      <c r="M183" s="50"/>
      <c r="N183" s="74">
        <v>2090</v>
      </c>
      <c r="O183" s="50"/>
      <c r="P183" s="74">
        <v>2118</v>
      </c>
      <c r="Q183" s="50"/>
      <c r="R183" s="74">
        <v>2162</v>
      </c>
      <c r="S183" s="50"/>
      <c r="T183" s="74">
        <v>2123</v>
      </c>
      <c r="U183" s="50">
        <v>9</v>
      </c>
      <c r="V183" s="74">
        <v>2115</v>
      </c>
      <c r="W183" s="50">
        <v>5</v>
      </c>
    </row>
    <row r="184" spans="1:23" ht="12.75">
      <c r="A184" s="10"/>
      <c r="B184" s="10" t="s">
        <v>35</v>
      </c>
      <c r="D184" s="74">
        <f>ROUND(0*1000/1936.27,0)</f>
        <v>0</v>
      </c>
      <c r="E184" s="108"/>
      <c r="F184" s="74">
        <v>0</v>
      </c>
      <c r="G184" s="50"/>
      <c r="H184" s="74">
        <v>0</v>
      </c>
      <c r="I184" s="50"/>
      <c r="J184" s="74">
        <v>26</v>
      </c>
      <c r="K184" s="50"/>
      <c r="L184" s="74">
        <v>26</v>
      </c>
      <c r="M184" s="50"/>
      <c r="N184" s="74">
        <v>27</v>
      </c>
      <c r="O184" s="50"/>
      <c r="P184" s="74">
        <v>2</v>
      </c>
      <c r="Q184" s="50"/>
      <c r="R184" s="74"/>
      <c r="S184" s="50"/>
      <c r="T184" s="74"/>
      <c r="U184" s="50"/>
      <c r="V184" s="74"/>
      <c r="W184" s="50"/>
    </row>
    <row r="185" spans="1:23" ht="12.75">
      <c r="A185" s="10"/>
      <c r="B185" s="10" t="s">
        <v>178</v>
      </c>
      <c r="D185" s="74"/>
      <c r="E185" s="108"/>
      <c r="F185" s="74"/>
      <c r="G185" s="50"/>
      <c r="H185" s="74"/>
      <c r="I185" s="50"/>
      <c r="J185" s="74"/>
      <c r="K185" s="50"/>
      <c r="L185" s="74">
        <v>383</v>
      </c>
      <c r="M185" s="50"/>
      <c r="N185" s="74">
        <v>422</v>
      </c>
      <c r="O185" s="50"/>
      <c r="P185" s="74">
        <v>460</v>
      </c>
      <c r="Q185" s="50"/>
      <c r="R185" s="74">
        <v>505</v>
      </c>
      <c r="S185" s="50"/>
      <c r="T185" s="74">
        <v>947</v>
      </c>
      <c r="U185" s="50">
        <v>47</v>
      </c>
      <c r="V185" s="74">
        <v>958</v>
      </c>
      <c r="W185" s="50">
        <v>72</v>
      </c>
    </row>
    <row r="186" spans="1:23" ht="12.75">
      <c r="A186" s="10"/>
      <c r="B186" s="10" t="s">
        <v>36</v>
      </c>
      <c r="D186" s="74">
        <f>ROUND(100*1000/1936.27,0)</f>
        <v>52</v>
      </c>
      <c r="E186" s="108"/>
      <c r="F186" s="74">
        <f>ROUND(82*1000/1936.27,0)</f>
        <v>42</v>
      </c>
      <c r="G186" s="50"/>
      <c r="H186" s="74">
        <f>ROUND((98000/1936.27),0)</f>
        <v>51</v>
      </c>
      <c r="I186" s="50"/>
      <c r="J186" s="74">
        <v>50</v>
      </c>
      <c r="K186" s="50"/>
      <c r="L186" s="74">
        <v>60</v>
      </c>
      <c r="M186" s="50"/>
      <c r="N186" s="74">
        <v>76</v>
      </c>
      <c r="O186" s="50"/>
      <c r="P186" s="74">
        <v>85</v>
      </c>
      <c r="Q186" s="50"/>
      <c r="R186" s="74">
        <v>92</v>
      </c>
      <c r="S186" s="50"/>
      <c r="T186" s="74">
        <v>92</v>
      </c>
      <c r="U186" s="50"/>
      <c r="V186" s="74">
        <v>92</v>
      </c>
      <c r="W186" s="50"/>
    </row>
    <row r="187" spans="1:23" ht="12.75">
      <c r="A187" s="10"/>
      <c r="B187" s="10" t="s">
        <v>122</v>
      </c>
      <c r="D187" s="74">
        <f>ROUND((521)*1000/1936.27,0)</f>
        <v>269</v>
      </c>
      <c r="E187" s="108"/>
      <c r="F187" s="74">
        <f>ROUND((605-82)*1000/1936.27,0)</f>
        <v>270</v>
      </c>
      <c r="G187" s="50"/>
      <c r="H187" s="74">
        <f>ROUND(((752000-98000)/1936.27),0)</f>
        <v>338</v>
      </c>
      <c r="I187" s="50"/>
      <c r="J187" s="74">
        <v>387</v>
      </c>
      <c r="K187" s="50"/>
      <c r="L187" s="74">
        <v>417</v>
      </c>
      <c r="M187" s="50"/>
      <c r="N187" s="74">
        <v>437</v>
      </c>
      <c r="O187" s="50"/>
      <c r="P187" s="74">
        <v>446</v>
      </c>
      <c r="Q187" s="50"/>
      <c r="R187" s="74">
        <v>438</v>
      </c>
      <c r="S187" s="50"/>
      <c r="T187" s="74">
        <v>492</v>
      </c>
      <c r="U187" s="50"/>
      <c r="V187" s="74">
        <v>561</v>
      </c>
      <c r="W187" s="50"/>
    </row>
    <row r="188" spans="1:23" ht="12.75">
      <c r="A188" s="10"/>
      <c r="B188" s="10" t="s">
        <v>123</v>
      </c>
      <c r="D188" s="74">
        <v>122</v>
      </c>
      <c r="E188" s="74">
        <v>0</v>
      </c>
      <c r="F188" s="74">
        <v>146</v>
      </c>
      <c r="G188" s="74">
        <v>0</v>
      </c>
      <c r="H188" s="74">
        <v>124</v>
      </c>
      <c r="I188" s="74">
        <v>0</v>
      </c>
      <c r="J188" s="74">
        <v>170</v>
      </c>
      <c r="K188" s="74"/>
      <c r="L188" s="74">
        <v>191</v>
      </c>
      <c r="M188" s="74">
        <v>0</v>
      </c>
      <c r="N188" s="74">
        <v>135</v>
      </c>
      <c r="O188" s="74">
        <v>0</v>
      </c>
      <c r="P188" s="74">
        <v>180</v>
      </c>
      <c r="Q188" s="74"/>
      <c r="R188" s="74">
        <v>145</v>
      </c>
      <c r="S188" s="74"/>
      <c r="T188" s="74">
        <v>144</v>
      </c>
      <c r="U188" s="74"/>
      <c r="V188" s="74">
        <v>140</v>
      </c>
      <c r="W188" s="74"/>
    </row>
    <row r="189" spans="1:35" s="2" customFormat="1" ht="12.75">
      <c r="A189" s="114" t="s">
        <v>39</v>
      </c>
      <c r="B189" s="115"/>
      <c r="C189" s="115"/>
      <c r="D189" s="62">
        <f>SUM(D190:D196)</f>
        <v>2061</v>
      </c>
      <c r="E189" s="62">
        <f>SUM(E190:E196)</f>
        <v>0</v>
      </c>
      <c r="F189" s="62">
        <f>SUM(F190:F196)</f>
        <v>2190</v>
      </c>
      <c r="G189" s="62">
        <f>SUM(G190:G196)</f>
        <v>15</v>
      </c>
      <c r="H189" s="62">
        <f>SUM(H190:H196)-1</f>
        <v>2364</v>
      </c>
      <c r="I189" s="62">
        <f aca="true" t="shared" si="40" ref="I189:O189">SUM(I190:I196)</f>
        <v>0</v>
      </c>
      <c r="J189" s="62">
        <f t="shared" si="40"/>
        <v>2568</v>
      </c>
      <c r="K189" s="62">
        <f t="shared" si="40"/>
        <v>26</v>
      </c>
      <c r="L189" s="62">
        <f t="shared" si="40"/>
        <v>2831</v>
      </c>
      <c r="M189" s="62">
        <f t="shared" si="40"/>
        <v>10</v>
      </c>
      <c r="N189" s="62">
        <f t="shared" si="40"/>
        <v>2964</v>
      </c>
      <c r="O189" s="62">
        <f t="shared" si="40"/>
        <v>0</v>
      </c>
      <c r="P189" s="62">
        <f aca="true" t="shared" si="41" ref="P189:W189">SUM(P190:P196)</f>
        <v>3210</v>
      </c>
      <c r="Q189" s="62">
        <f t="shared" si="41"/>
        <v>90</v>
      </c>
      <c r="R189" s="62">
        <f t="shared" si="41"/>
        <v>3227</v>
      </c>
      <c r="S189" s="62">
        <f t="shared" si="41"/>
        <v>80</v>
      </c>
      <c r="T189" s="62">
        <f t="shared" si="41"/>
        <v>3286</v>
      </c>
      <c r="U189" s="62">
        <f t="shared" si="41"/>
        <v>35</v>
      </c>
      <c r="V189" s="62">
        <f t="shared" si="41"/>
        <v>3215</v>
      </c>
      <c r="W189" s="62">
        <f t="shared" si="41"/>
        <v>41</v>
      </c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</row>
    <row r="190" spans="1:23" ht="12.75">
      <c r="A190" s="10"/>
      <c r="B190" s="10" t="s">
        <v>33</v>
      </c>
      <c r="D190" s="74">
        <f>ROUND(155*1000/1936.27,0)</f>
        <v>80</v>
      </c>
      <c r="E190" s="74"/>
      <c r="F190" s="74">
        <f>ROUND(206*1000/1936.27,0)-2</f>
        <v>104</v>
      </c>
      <c r="G190" s="74"/>
      <c r="H190" s="74">
        <f>ROUND((197000/1936.27),0)</f>
        <v>102</v>
      </c>
      <c r="I190" s="74"/>
      <c r="J190" s="74">
        <v>159</v>
      </c>
      <c r="K190" s="74"/>
      <c r="L190" s="74">
        <v>115</v>
      </c>
      <c r="M190" s="74"/>
      <c r="N190" s="74">
        <v>144</v>
      </c>
      <c r="O190" s="74"/>
      <c r="P190" s="74">
        <v>126</v>
      </c>
      <c r="Q190" s="74"/>
      <c r="R190" s="74">
        <v>174</v>
      </c>
      <c r="S190" s="74"/>
      <c r="T190" s="74">
        <v>112</v>
      </c>
      <c r="U190" s="74"/>
      <c r="V190" s="74">
        <v>86</v>
      </c>
      <c r="W190" s="74"/>
    </row>
    <row r="191" spans="1:23" ht="12.75">
      <c r="A191" s="10"/>
      <c r="B191" s="10" t="s">
        <v>34</v>
      </c>
      <c r="D191" s="74">
        <f>ROUND(2530*1000/1936.27,0)</f>
        <v>1307</v>
      </c>
      <c r="E191" s="108"/>
      <c r="F191" s="74">
        <f>ROUND(2741*1000/1936.27,0)+1</f>
        <v>1417</v>
      </c>
      <c r="G191" s="50">
        <f>ROUND(30000/1936.27,0)</f>
        <v>15</v>
      </c>
      <c r="H191" s="74">
        <f>ROUND((2955000/1936.27),0)</f>
        <v>1526</v>
      </c>
      <c r="I191" s="50"/>
      <c r="J191" s="74">
        <v>1542</v>
      </c>
      <c r="K191" s="50">
        <v>26</v>
      </c>
      <c r="L191" s="74">
        <v>1718</v>
      </c>
      <c r="M191" s="50">
        <v>10</v>
      </c>
      <c r="N191" s="74">
        <v>1805</v>
      </c>
      <c r="O191" s="50"/>
      <c r="P191" s="74">
        <v>2019</v>
      </c>
      <c r="Q191" s="50">
        <v>90</v>
      </c>
      <c r="R191" s="74">
        <v>1932</v>
      </c>
      <c r="S191" s="50">
        <v>70</v>
      </c>
      <c r="T191" s="74">
        <v>1992</v>
      </c>
      <c r="U191" s="50"/>
      <c r="V191" s="74">
        <v>1912</v>
      </c>
      <c r="W191" s="50"/>
    </row>
    <row r="192" spans="1:23" ht="12.75">
      <c r="A192" s="10"/>
      <c r="B192" s="10" t="s">
        <v>35</v>
      </c>
      <c r="D192" s="74">
        <f>ROUND(0*1000/1936.27,0)</f>
        <v>0</v>
      </c>
      <c r="E192" s="108"/>
      <c r="F192" s="74">
        <v>0</v>
      </c>
      <c r="G192" s="50"/>
      <c r="H192" s="74">
        <v>0</v>
      </c>
      <c r="I192" s="50"/>
      <c r="J192" s="74">
        <v>26</v>
      </c>
      <c r="K192" s="50"/>
      <c r="L192" s="74">
        <v>30</v>
      </c>
      <c r="M192" s="50"/>
      <c r="N192" s="74">
        <v>40</v>
      </c>
      <c r="O192" s="50"/>
      <c r="P192" s="74">
        <v>29</v>
      </c>
      <c r="Q192" s="50"/>
      <c r="R192" s="74"/>
      <c r="S192" s="50"/>
      <c r="T192" s="74"/>
      <c r="U192" s="50"/>
      <c r="V192" s="74"/>
      <c r="W192" s="50"/>
    </row>
    <row r="193" spans="1:23" ht="12.75">
      <c r="A193" s="10"/>
      <c r="B193" s="10" t="s">
        <v>178</v>
      </c>
      <c r="D193" s="74"/>
      <c r="E193" s="108"/>
      <c r="F193" s="74"/>
      <c r="G193" s="50"/>
      <c r="H193" s="74"/>
      <c r="I193" s="50"/>
      <c r="J193" s="74"/>
      <c r="K193" s="50"/>
      <c r="L193" s="74"/>
      <c r="M193" s="50"/>
      <c r="N193" s="74"/>
      <c r="O193" s="50"/>
      <c r="P193" s="74"/>
      <c r="Q193" s="50"/>
      <c r="R193" s="74"/>
      <c r="S193" s="50"/>
      <c r="T193" s="74">
        <v>90</v>
      </c>
      <c r="U193" s="50">
        <v>35</v>
      </c>
      <c r="V193" s="74">
        <v>115</v>
      </c>
      <c r="W193" s="50">
        <v>41</v>
      </c>
    </row>
    <row r="194" spans="1:23" ht="12.75">
      <c r="A194" s="10"/>
      <c r="B194" s="10" t="s">
        <v>36</v>
      </c>
      <c r="D194" s="74">
        <f>ROUND(68*1000/1936.27,0)</f>
        <v>35</v>
      </c>
      <c r="E194" s="108"/>
      <c r="F194" s="74">
        <f>ROUND(56*1000/1936.27,0)</f>
        <v>29</v>
      </c>
      <c r="G194" s="50"/>
      <c r="H194" s="74">
        <f>ROUND((56000/1936.27),0)</f>
        <v>29</v>
      </c>
      <c r="I194" s="50"/>
      <c r="J194" s="74">
        <v>29</v>
      </c>
      <c r="K194" s="50"/>
      <c r="L194" s="74">
        <v>35</v>
      </c>
      <c r="M194" s="50"/>
      <c r="N194" s="74">
        <v>44</v>
      </c>
      <c r="O194" s="50"/>
      <c r="P194" s="74">
        <v>49</v>
      </c>
      <c r="Q194" s="50"/>
      <c r="R194" s="74">
        <v>53</v>
      </c>
      <c r="S194" s="50"/>
      <c r="T194" s="74">
        <v>53</v>
      </c>
      <c r="U194" s="50"/>
      <c r="V194" s="74">
        <v>53</v>
      </c>
      <c r="W194" s="50"/>
    </row>
    <row r="195" spans="1:23" ht="12.75">
      <c r="A195" s="10"/>
      <c r="B195" s="10" t="s">
        <v>122</v>
      </c>
      <c r="D195" s="74">
        <f>ROUND((697-68)*1000/1936.27,0)</f>
        <v>325</v>
      </c>
      <c r="E195" s="108"/>
      <c r="F195" s="74">
        <f>ROUND((693-56)*1000/1936.27,0)</f>
        <v>329</v>
      </c>
      <c r="G195" s="50"/>
      <c r="H195" s="74">
        <f>ROUND((760000/1936.27),0)</f>
        <v>393</v>
      </c>
      <c r="I195" s="50"/>
      <c r="J195" s="74">
        <v>441</v>
      </c>
      <c r="K195" s="50"/>
      <c r="L195" s="74">
        <v>474</v>
      </c>
      <c r="M195" s="50"/>
      <c r="N195" s="74">
        <v>506</v>
      </c>
      <c r="O195" s="50"/>
      <c r="P195" s="74">
        <v>566</v>
      </c>
      <c r="Q195" s="50"/>
      <c r="R195" s="74">
        <v>619</v>
      </c>
      <c r="S195" s="50"/>
      <c r="T195" s="74">
        <v>637</v>
      </c>
      <c r="U195" s="50"/>
      <c r="V195" s="74">
        <v>663</v>
      </c>
      <c r="W195" s="50"/>
    </row>
    <row r="196" spans="1:23" ht="12.75">
      <c r="A196" s="10"/>
      <c r="B196" s="10" t="s">
        <v>123</v>
      </c>
      <c r="D196" s="74">
        <v>314</v>
      </c>
      <c r="E196" s="74">
        <v>0</v>
      </c>
      <c r="F196" s="74">
        <v>311</v>
      </c>
      <c r="G196" s="74">
        <v>0</v>
      </c>
      <c r="H196" s="74">
        <v>315</v>
      </c>
      <c r="I196" s="74">
        <v>0</v>
      </c>
      <c r="J196" s="74">
        <v>371</v>
      </c>
      <c r="K196" s="74">
        <v>0</v>
      </c>
      <c r="L196" s="74">
        <v>459</v>
      </c>
      <c r="M196" s="74">
        <v>0</v>
      </c>
      <c r="N196" s="74">
        <v>425</v>
      </c>
      <c r="O196" s="74">
        <v>0</v>
      </c>
      <c r="P196" s="74">
        <v>421</v>
      </c>
      <c r="Q196" s="74"/>
      <c r="R196" s="74">
        <v>449</v>
      </c>
      <c r="S196" s="74">
        <v>10</v>
      </c>
      <c r="T196" s="74">
        <v>402</v>
      </c>
      <c r="U196" s="74"/>
      <c r="V196" s="74">
        <v>386</v>
      </c>
      <c r="W196" s="74"/>
    </row>
    <row r="197" spans="1:35" s="2" customFormat="1" ht="12.75">
      <c r="A197" s="114" t="s">
        <v>40</v>
      </c>
      <c r="B197" s="115"/>
      <c r="C197" s="115"/>
      <c r="D197" s="62">
        <f aca="true" t="shared" si="42" ref="D197:O197">SUM(D198:D204)</f>
        <v>2164</v>
      </c>
      <c r="E197" s="62">
        <f t="shared" si="42"/>
        <v>21</v>
      </c>
      <c r="F197" s="62">
        <f t="shared" si="42"/>
        <v>2768</v>
      </c>
      <c r="G197" s="62">
        <f t="shared" si="42"/>
        <v>480</v>
      </c>
      <c r="H197" s="62">
        <f t="shared" si="42"/>
        <v>2609</v>
      </c>
      <c r="I197" s="62">
        <f t="shared" si="42"/>
        <v>0</v>
      </c>
      <c r="J197" s="62">
        <f t="shared" si="42"/>
        <v>2694</v>
      </c>
      <c r="K197" s="62">
        <f t="shared" si="42"/>
        <v>0</v>
      </c>
      <c r="L197" s="62">
        <f t="shared" si="42"/>
        <v>2999</v>
      </c>
      <c r="M197" s="62">
        <f t="shared" si="42"/>
        <v>4</v>
      </c>
      <c r="N197" s="62">
        <f t="shared" si="42"/>
        <v>3001</v>
      </c>
      <c r="O197" s="62">
        <f t="shared" si="42"/>
        <v>5</v>
      </c>
      <c r="P197" s="62">
        <f aca="true" t="shared" si="43" ref="P197:W197">SUM(P198:P204)</f>
        <v>3190</v>
      </c>
      <c r="Q197" s="62">
        <f t="shared" si="43"/>
        <v>2</v>
      </c>
      <c r="R197" s="62">
        <f t="shared" si="43"/>
        <v>3169</v>
      </c>
      <c r="S197" s="62">
        <f t="shared" si="43"/>
        <v>1</v>
      </c>
      <c r="T197" s="62">
        <f t="shared" si="43"/>
        <v>3287</v>
      </c>
      <c r="U197" s="62">
        <f t="shared" si="43"/>
        <v>151</v>
      </c>
      <c r="V197" s="62">
        <f t="shared" si="43"/>
        <v>3512</v>
      </c>
      <c r="W197" s="62">
        <f t="shared" si="43"/>
        <v>221</v>
      </c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</row>
    <row r="198" spans="1:23" ht="12.75">
      <c r="A198" s="10"/>
      <c r="B198" s="10" t="s">
        <v>33</v>
      </c>
      <c r="D198" s="74">
        <f>ROUND(221*1000/1936.27,0)+1</f>
        <v>115</v>
      </c>
      <c r="E198" s="74">
        <v>21</v>
      </c>
      <c r="F198" s="74">
        <f>ROUND(289*1000/1936.27,0)</f>
        <v>149</v>
      </c>
      <c r="G198" s="74"/>
      <c r="H198" s="74">
        <f>ROUND((281000/1936.27),0)</f>
        <v>145</v>
      </c>
      <c r="I198" s="74"/>
      <c r="J198" s="74">
        <v>89</v>
      </c>
      <c r="K198" s="74"/>
      <c r="L198" s="74">
        <v>70</v>
      </c>
      <c r="M198" s="74"/>
      <c r="N198" s="74">
        <v>138</v>
      </c>
      <c r="O198" s="74"/>
      <c r="P198" s="74">
        <v>155</v>
      </c>
      <c r="Q198" s="74"/>
      <c r="R198" s="74">
        <v>224</v>
      </c>
      <c r="S198" s="74"/>
      <c r="T198" s="74">
        <v>148</v>
      </c>
      <c r="U198" s="74"/>
      <c r="V198" s="74">
        <v>102</v>
      </c>
      <c r="W198" s="74"/>
    </row>
    <row r="199" spans="1:23" ht="12.75">
      <c r="A199" s="10"/>
      <c r="B199" s="10" t="s">
        <v>34</v>
      </c>
      <c r="D199" s="74">
        <f>ROUND(3031*1000/1936.27,0)</f>
        <v>1565</v>
      </c>
      <c r="E199" s="108"/>
      <c r="F199" s="74">
        <f>ROUND(3239*1000/1936.27,0)</f>
        <v>1673</v>
      </c>
      <c r="G199" s="50">
        <f>ROUND(87000/1936.27,0)</f>
        <v>45</v>
      </c>
      <c r="H199" s="74">
        <f>ROUND((3597000/1936.27),0)</f>
        <v>1858</v>
      </c>
      <c r="I199" s="50"/>
      <c r="J199" s="74">
        <v>1753</v>
      </c>
      <c r="K199" s="50"/>
      <c r="L199" s="74">
        <v>2070</v>
      </c>
      <c r="M199" s="50"/>
      <c r="N199" s="74">
        <v>1922</v>
      </c>
      <c r="O199" s="50"/>
      <c r="P199" s="74">
        <v>2060</v>
      </c>
      <c r="Q199" s="50"/>
      <c r="R199" s="74">
        <v>2090</v>
      </c>
      <c r="S199" s="50"/>
      <c r="T199" s="74">
        <v>2123</v>
      </c>
      <c r="U199" s="50">
        <v>64</v>
      </c>
      <c r="V199" s="74">
        <v>2174</v>
      </c>
      <c r="W199" s="50">
        <v>108</v>
      </c>
    </row>
    <row r="200" spans="1:23" ht="12.75">
      <c r="A200" s="10"/>
      <c r="B200" s="10" t="s">
        <v>35</v>
      </c>
      <c r="D200" s="74">
        <f>ROUND(0*1000/1936.27,0)</f>
        <v>0</v>
      </c>
      <c r="E200" s="108"/>
      <c r="F200" s="74">
        <v>0</v>
      </c>
      <c r="G200" s="50"/>
      <c r="H200" s="74">
        <v>0</v>
      </c>
      <c r="I200" s="50"/>
      <c r="J200" s="74">
        <v>24</v>
      </c>
      <c r="K200" s="50"/>
      <c r="L200" s="74">
        <v>39</v>
      </c>
      <c r="M200" s="50"/>
      <c r="N200" s="74">
        <v>41</v>
      </c>
      <c r="O200" s="50"/>
      <c r="P200" s="74">
        <v>32</v>
      </c>
      <c r="Q200" s="50"/>
      <c r="R200" s="74"/>
      <c r="S200" s="50"/>
      <c r="T200" s="74"/>
      <c r="U200" s="50"/>
      <c r="V200" s="74"/>
      <c r="W200" s="50"/>
    </row>
    <row r="201" spans="1:23" ht="12.75">
      <c r="A201" s="10"/>
      <c r="B201" s="10" t="s">
        <v>178</v>
      </c>
      <c r="D201" s="74"/>
      <c r="E201" s="108"/>
      <c r="F201" s="74"/>
      <c r="G201" s="50"/>
      <c r="H201" s="74"/>
      <c r="I201" s="50"/>
      <c r="J201" s="74"/>
      <c r="K201" s="50"/>
      <c r="L201" s="74"/>
      <c r="M201" s="50"/>
      <c r="N201" s="74"/>
      <c r="O201" s="50"/>
      <c r="P201" s="74"/>
      <c r="Q201" s="50"/>
      <c r="R201" s="74"/>
      <c r="S201" s="50"/>
      <c r="T201" s="74">
        <v>179</v>
      </c>
      <c r="U201" s="50">
        <v>87</v>
      </c>
      <c r="V201" s="74">
        <v>294</v>
      </c>
      <c r="W201" s="50">
        <v>93</v>
      </c>
    </row>
    <row r="202" spans="1:23" ht="12.75">
      <c r="A202" s="10"/>
      <c r="B202" s="10" t="s">
        <v>36</v>
      </c>
      <c r="D202" s="74">
        <v>0</v>
      </c>
      <c r="E202" s="108"/>
      <c r="F202" s="74">
        <f>ROUND(0*1000/1936.27,0)</f>
        <v>0</v>
      </c>
      <c r="G202" s="50"/>
      <c r="H202" s="74">
        <v>0</v>
      </c>
      <c r="I202" s="50"/>
      <c r="J202" s="74"/>
      <c r="K202" s="50"/>
      <c r="L202" s="74"/>
      <c r="M202" s="50"/>
      <c r="N202" s="74"/>
      <c r="O202" s="50"/>
      <c r="P202" s="74"/>
      <c r="Q202" s="50"/>
      <c r="R202" s="74"/>
      <c r="S202" s="50"/>
      <c r="T202" s="74"/>
      <c r="U202" s="50"/>
      <c r="V202" s="74"/>
      <c r="W202" s="50"/>
    </row>
    <row r="203" spans="1:23" ht="14.25" customHeight="1">
      <c r="A203" s="10"/>
      <c r="B203" s="10" t="s">
        <v>122</v>
      </c>
      <c r="D203" s="74">
        <f>ROUND(885*1000/1936.27,0)</f>
        <v>457</v>
      </c>
      <c r="E203" s="108"/>
      <c r="F203" s="74">
        <f>ROUND(926*1000/1936.27,0)</f>
        <v>478</v>
      </c>
      <c r="G203" s="50"/>
      <c r="H203" s="74">
        <f>ROUND((1139000/1936.27),0)</f>
        <v>588</v>
      </c>
      <c r="I203" s="50"/>
      <c r="J203" s="74">
        <v>634</v>
      </c>
      <c r="K203" s="50"/>
      <c r="L203" s="74">
        <v>622</v>
      </c>
      <c r="M203" s="50"/>
      <c r="N203" s="74">
        <v>741</v>
      </c>
      <c r="O203" s="50"/>
      <c r="P203" s="74">
        <v>828</v>
      </c>
      <c r="Q203" s="50"/>
      <c r="R203" s="74">
        <v>771</v>
      </c>
      <c r="S203" s="50"/>
      <c r="T203" s="74">
        <v>748</v>
      </c>
      <c r="U203" s="50"/>
      <c r="V203" s="74">
        <v>815</v>
      </c>
      <c r="W203" s="50">
        <v>15</v>
      </c>
    </row>
    <row r="204" spans="1:32" ht="12.75">
      <c r="A204" s="10"/>
      <c r="B204" s="10" t="s">
        <v>123</v>
      </c>
      <c r="D204" s="74">
        <v>27</v>
      </c>
      <c r="E204" s="74">
        <v>0</v>
      </c>
      <c r="F204" s="74">
        <v>468</v>
      </c>
      <c r="G204" s="74">
        <v>435</v>
      </c>
      <c r="H204" s="74">
        <v>18</v>
      </c>
      <c r="I204" s="74">
        <v>0</v>
      </c>
      <c r="J204" s="74">
        <v>194</v>
      </c>
      <c r="K204" s="74">
        <v>0</v>
      </c>
      <c r="L204" s="74">
        <v>198</v>
      </c>
      <c r="M204" s="74">
        <v>4</v>
      </c>
      <c r="N204" s="74">
        <v>159</v>
      </c>
      <c r="O204" s="74">
        <v>5</v>
      </c>
      <c r="P204" s="74">
        <v>115</v>
      </c>
      <c r="Q204" s="74">
        <v>2</v>
      </c>
      <c r="R204" s="74">
        <v>84</v>
      </c>
      <c r="S204" s="74">
        <v>1</v>
      </c>
      <c r="T204" s="74">
        <v>89</v>
      </c>
      <c r="U204" s="74"/>
      <c r="V204" s="74">
        <v>127</v>
      </c>
      <c r="W204" s="74">
        <v>5</v>
      </c>
      <c r="X204" s="74">
        <v>0</v>
      </c>
      <c r="Y204" s="74">
        <v>0</v>
      </c>
      <c r="Z204" s="74">
        <v>0</v>
      </c>
      <c r="AA204" s="74">
        <v>0</v>
      </c>
      <c r="AB204" s="74">
        <v>0</v>
      </c>
      <c r="AC204" s="74">
        <v>0</v>
      </c>
      <c r="AD204" s="74">
        <v>0</v>
      </c>
      <c r="AE204" s="74">
        <v>0</v>
      </c>
      <c r="AF204" s="74">
        <v>0</v>
      </c>
    </row>
    <row r="205" spans="1:35" s="2" customFormat="1" ht="12.75">
      <c r="A205" s="114" t="s">
        <v>41</v>
      </c>
      <c r="B205" s="115"/>
      <c r="C205" s="115"/>
      <c r="D205" s="62">
        <f aca="true" t="shared" si="44" ref="D205:O205">SUM(D206:D212)</f>
        <v>3149</v>
      </c>
      <c r="E205" s="62">
        <f t="shared" si="44"/>
        <v>0</v>
      </c>
      <c r="F205" s="62">
        <f t="shared" si="44"/>
        <v>3287</v>
      </c>
      <c r="G205" s="62">
        <f t="shared" si="44"/>
        <v>0</v>
      </c>
      <c r="H205" s="62">
        <f t="shared" si="44"/>
        <v>3312</v>
      </c>
      <c r="I205" s="62">
        <f t="shared" si="44"/>
        <v>0</v>
      </c>
      <c r="J205" s="62">
        <f t="shared" si="44"/>
        <v>3424</v>
      </c>
      <c r="K205" s="62">
        <f t="shared" si="44"/>
        <v>0</v>
      </c>
      <c r="L205" s="62">
        <f t="shared" si="44"/>
        <v>3530</v>
      </c>
      <c r="M205" s="62">
        <f t="shared" si="44"/>
        <v>0</v>
      </c>
      <c r="N205" s="62">
        <f t="shared" si="44"/>
        <v>3386</v>
      </c>
      <c r="O205" s="62">
        <f t="shared" si="44"/>
        <v>0</v>
      </c>
      <c r="P205" s="62">
        <f aca="true" t="shared" si="45" ref="P205:W205">SUM(P206:P212)</f>
        <v>3492</v>
      </c>
      <c r="Q205" s="62">
        <f t="shared" si="45"/>
        <v>0</v>
      </c>
      <c r="R205" s="62">
        <f t="shared" si="45"/>
        <v>3394</v>
      </c>
      <c r="S205" s="62">
        <f t="shared" si="45"/>
        <v>12</v>
      </c>
      <c r="T205" s="62">
        <f t="shared" si="45"/>
        <v>3714</v>
      </c>
      <c r="U205" s="62">
        <f t="shared" si="45"/>
        <v>79</v>
      </c>
      <c r="V205" s="62">
        <f t="shared" si="45"/>
        <v>4089</v>
      </c>
      <c r="W205" s="62">
        <f t="shared" si="45"/>
        <v>210</v>
      </c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</row>
    <row r="206" spans="1:23" ht="12.75">
      <c r="A206" s="10"/>
      <c r="B206" s="10" t="s">
        <v>33</v>
      </c>
      <c r="D206" s="74">
        <f>ROUND(348*1000/1936.27,0)</f>
        <v>180</v>
      </c>
      <c r="E206" s="74"/>
      <c r="F206" s="74">
        <f>ROUND(407*1000/1936.27,0)+2</f>
        <v>212</v>
      </c>
      <c r="G206" s="74"/>
      <c r="H206" s="74">
        <f>ROUND((502000/1936.27),0)</f>
        <v>259</v>
      </c>
      <c r="I206" s="74"/>
      <c r="J206" s="74">
        <v>206</v>
      </c>
      <c r="K206" s="74"/>
      <c r="L206" s="74">
        <v>158</v>
      </c>
      <c r="M206" s="74"/>
      <c r="N206" s="74">
        <v>156</v>
      </c>
      <c r="O206" s="74"/>
      <c r="P206" s="74">
        <v>184</v>
      </c>
      <c r="Q206" s="74"/>
      <c r="R206" s="74">
        <v>137</v>
      </c>
      <c r="S206" s="74"/>
      <c r="T206" s="74">
        <v>147</v>
      </c>
      <c r="U206" s="74"/>
      <c r="V206" s="74">
        <v>103</v>
      </c>
      <c r="W206" s="74"/>
    </row>
    <row r="207" spans="1:23" ht="12.75">
      <c r="A207" s="10"/>
      <c r="B207" s="10" t="s">
        <v>34</v>
      </c>
      <c r="D207" s="74">
        <f>ROUND(4384*1000/1936.27,0)</f>
        <v>2264</v>
      </c>
      <c r="E207" s="108"/>
      <c r="F207" s="74">
        <f>ROUND(4506*1000/1936.27,0)+1</f>
        <v>2328</v>
      </c>
      <c r="G207" s="50"/>
      <c r="H207" s="74">
        <f>ROUND((4314000/1936.27),0)</f>
        <v>2228</v>
      </c>
      <c r="I207" s="50"/>
      <c r="J207" s="74">
        <v>2309</v>
      </c>
      <c r="K207" s="50"/>
      <c r="L207" s="74">
        <v>2417</v>
      </c>
      <c r="M207" s="50"/>
      <c r="N207" s="74">
        <v>2305</v>
      </c>
      <c r="O207" s="50"/>
      <c r="P207" s="74">
        <v>2281</v>
      </c>
      <c r="Q207" s="50"/>
      <c r="R207" s="74">
        <v>2093</v>
      </c>
      <c r="S207" s="50"/>
      <c r="T207" s="74">
        <v>2089</v>
      </c>
      <c r="U207" s="50">
        <v>41</v>
      </c>
      <c r="V207" s="74">
        <v>2246</v>
      </c>
      <c r="W207" s="50">
        <v>130</v>
      </c>
    </row>
    <row r="208" spans="1:23" ht="12.75">
      <c r="A208" s="10"/>
      <c r="B208" s="10" t="s">
        <v>35</v>
      </c>
      <c r="D208" s="74">
        <f>ROUND(0*1000/1936.27,0)</f>
        <v>0</v>
      </c>
      <c r="E208" s="108"/>
      <c r="F208" s="74">
        <v>0</v>
      </c>
      <c r="G208" s="50"/>
      <c r="H208" s="74">
        <v>0</v>
      </c>
      <c r="I208" s="50"/>
      <c r="J208" s="74">
        <v>46</v>
      </c>
      <c r="K208" s="50"/>
      <c r="L208" s="74">
        <v>56</v>
      </c>
      <c r="M208" s="50"/>
      <c r="N208" s="74">
        <v>47</v>
      </c>
      <c r="O208" s="50"/>
      <c r="P208" s="74">
        <v>50</v>
      </c>
      <c r="Q208" s="50"/>
      <c r="R208" s="74"/>
      <c r="S208" s="50"/>
      <c r="T208" s="74"/>
      <c r="U208" s="50"/>
      <c r="V208" s="74"/>
      <c r="W208" s="50"/>
    </row>
    <row r="209" spans="1:23" ht="12.75">
      <c r="A209" s="10"/>
      <c r="B209" s="10" t="s">
        <v>178</v>
      </c>
      <c r="D209" s="74"/>
      <c r="E209" s="108"/>
      <c r="F209" s="74"/>
      <c r="G209" s="50"/>
      <c r="H209" s="74"/>
      <c r="I209" s="50"/>
      <c r="J209" s="74"/>
      <c r="K209" s="50"/>
      <c r="L209" s="74"/>
      <c r="M209" s="50"/>
      <c r="N209" s="74"/>
      <c r="O209" s="50"/>
      <c r="P209" s="74"/>
      <c r="Q209" s="50"/>
      <c r="R209" s="74"/>
      <c r="S209" s="50"/>
      <c r="T209" s="74">
        <v>191</v>
      </c>
      <c r="U209" s="50">
        <v>38</v>
      </c>
      <c r="V209" s="74">
        <v>254</v>
      </c>
      <c r="W209" s="50">
        <v>80</v>
      </c>
    </row>
    <row r="210" spans="1:23" ht="12.75">
      <c r="A210" s="10"/>
      <c r="B210" s="10" t="s">
        <v>36</v>
      </c>
      <c r="D210" s="74">
        <f>ROUND(351*1000/1936.27,0)</f>
        <v>181</v>
      </c>
      <c r="E210" s="108"/>
      <c r="F210" s="74">
        <f>ROUND(262*1000/1936.27,0)</f>
        <v>135</v>
      </c>
      <c r="G210" s="50"/>
      <c r="H210" s="74">
        <f>ROUND((262000/1936.27),0)</f>
        <v>135</v>
      </c>
      <c r="I210" s="50"/>
      <c r="J210" s="74">
        <v>135</v>
      </c>
      <c r="K210" s="50"/>
      <c r="L210" s="74">
        <v>169</v>
      </c>
      <c r="M210" s="50"/>
      <c r="N210" s="74">
        <v>214</v>
      </c>
      <c r="O210" s="50"/>
      <c r="P210" s="74">
        <v>238</v>
      </c>
      <c r="Q210" s="50"/>
      <c r="R210" s="74">
        <v>258</v>
      </c>
      <c r="S210" s="50"/>
      <c r="T210" s="74">
        <v>248</v>
      </c>
      <c r="U210" s="50"/>
      <c r="V210" s="74">
        <v>260</v>
      </c>
      <c r="W210" s="50"/>
    </row>
    <row r="211" spans="1:23" ht="12.75">
      <c r="A211" s="10"/>
      <c r="B211" s="10" t="s">
        <v>122</v>
      </c>
      <c r="D211" s="74">
        <f>ROUND((1331-351)*1000/1936.27,0)</f>
        <v>506</v>
      </c>
      <c r="E211" s="108"/>
      <c r="F211" s="74">
        <f>ROUND((1405-262)*1000/1936.27,0)</f>
        <v>590</v>
      </c>
      <c r="G211" s="50"/>
      <c r="H211" s="74">
        <f>ROUND((1295000/1936.27),0)</f>
        <v>669</v>
      </c>
      <c r="I211" s="50"/>
      <c r="J211" s="74">
        <v>656</v>
      </c>
      <c r="K211" s="50"/>
      <c r="L211" s="74">
        <v>650</v>
      </c>
      <c r="M211" s="50"/>
      <c r="N211" s="74">
        <v>584</v>
      </c>
      <c r="O211" s="50"/>
      <c r="P211" s="74">
        <v>662</v>
      </c>
      <c r="Q211" s="50"/>
      <c r="R211" s="74">
        <v>835</v>
      </c>
      <c r="S211" s="50"/>
      <c r="T211" s="74">
        <v>977</v>
      </c>
      <c r="U211" s="50"/>
      <c r="V211" s="74">
        <v>1163</v>
      </c>
      <c r="W211" s="50"/>
    </row>
    <row r="212" spans="1:23" ht="12.75">
      <c r="A212" s="10"/>
      <c r="B212" s="10" t="s">
        <v>123</v>
      </c>
      <c r="D212" s="74">
        <v>18</v>
      </c>
      <c r="E212" s="74">
        <v>0</v>
      </c>
      <c r="F212" s="74">
        <v>22</v>
      </c>
      <c r="G212" s="74">
        <v>0</v>
      </c>
      <c r="H212" s="74">
        <v>21</v>
      </c>
      <c r="I212" s="74">
        <v>0</v>
      </c>
      <c r="J212" s="74">
        <v>72</v>
      </c>
      <c r="K212" s="74">
        <v>0</v>
      </c>
      <c r="L212" s="74">
        <v>80</v>
      </c>
      <c r="M212" s="74">
        <v>0</v>
      </c>
      <c r="N212" s="74">
        <v>80</v>
      </c>
      <c r="O212" s="74">
        <v>0</v>
      </c>
      <c r="P212" s="74">
        <v>77</v>
      </c>
      <c r="Q212" s="74"/>
      <c r="R212" s="74">
        <v>71</v>
      </c>
      <c r="S212" s="74">
        <v>12</v>
      </c>
      <c r="T212" s="74">
        <v>62</v>
      </c>
      <c r="U212" s="74"/>
      <c r="V212" s="74">
        <v>63</v>
      </c>
      <c r="W212" s="74"/>
    </row>
    <row r="213" spans="1:35" s="2" customFormat="1" ht="12.75">
      <c r="A213" s="114" t="s">
        <v>42</v>
      </c>
      <c r="B213" s="115"/>
      <c r="C213" s="115"/>
      <c r="D213" s="62">
        <f aca="true" t="shared" si="46" ref="D213:O213">SUM(D214:D220)</f>
        <v>2991</v>
      </c>
      <c r="E213" s="62">
        <f t="shared" si="46"/>
        <v>0</v>
      </c>
      <c r="F213" s="62">
        <f t="shared" si="46"/>
        <v>3212</v>
      </c>
      <c r="G213" s="62">
        <f t="shared" si="46"/>
        <v>42</v>
      </c>
      <c r="H213" s="62">
        <f t="shared" si="46"/>
        <v>3484</v>
      </c>
      <c r="I213" s="62">
        <f t="shared" si="46"/>
        <v>0</v>
      </c>
      <c r="J213" s="62">
        <f t="shared" si="46"/>
        <v>3564</v>
      </c>
      <c r="K213" s="62">
        <f t="shared" si="46"/>
        <v>0</v>
      </c>
      <c r="L213" s="62">
        <f t="shared" si="46"/>
        <v>3958</v>
      </c>
      <c r="M213" s="62">
        <f t="shared" si="46"/>
        <v>0</v>
      </c>
      <c r="N213" s="62">
        <f t="shared" si="46"/>
        <v>4002</v>
      </c>
      <c r="O213" s="62">
        <f t="shared" si="46"/>
        <v>0</v>
      </c>
      <c r="P213" s="62">
        <f aca="true" t="shared" si="47" ref="P213:W213">SUM(P214:P220)</f>
        <v>4281</v>
      </c>
      <c r="Q213" s="62">
        <f t="shared" si="47"/>
        <v>2</v>
      </c>
      <c r="R213" s="62">
        <f t="shared" si="47"/>
        <v>4233</v>
      </c>
      <c r="S213" s="62">
        <f t="shared" si="47"/>
        <v>35</v>
      </c>
      <c r="T213" s="62">
        <f t="shared" si="47"/>
        <v>4872</v>
      </c>
      <c r="U213" s="62">
        <f t="shared" si="47"/>
        <v>414</v>
      </c>
      <c r="V213" s="62">
        <f t="shared" si="47"/>
        <v>4732</v>
      </c>
      <c r="W213" s="62">
        <f t="shared" si="47"/>
        <v>193</v>
      </c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</row>
    <row r="214" spans="1:23" ht="12.75">
      <c r="A214" s="10"/>
      <c r="B214" s="10" t="s">
        <v>33</v>
      </c>
      <c r="D214" s="74">
        <f>ROUND(550*1000/1936.27,0)</f>
        <v>284</v>
      </c>
      <c r="E214" s="74"/>
      <c r="F214" s="74">
        <f>ROUND(305*1000/1936.27,0)</f>
        <v>158</v>
      </c>
      <c r="G214" s="74"/>
      <c r="H214" s="74">
        <f>ROUND((307000/1936.27),0)</f>
        <v>159</v>
      </c>
      <c r="I214" s="74"/>
      <c r="J214" s="74">
        <v>192</v>
      </c>
      <c r="K214" s="74"/>
      <c r="L214" s="74">
        <v>198</v>
      </c>
      <c r="M214" s="74"/>
      <c r="N214" s="74">
        <v>187</v>
      </c>
      <c r="O214" s="74"/>
      <c r="P214" s="74">
        <v>184</v>
      </c>
      <c r="Q214" s="74">
        <v>2</v>
      </c>
      <c r="R214" s="74">
        <v>153</v>
      </c>
      <c r="S214" s="74"/>
      <c r="T214" s="74">
        <v>109</v>
      </c>
      <c r="U214" s="74"/>
      <c r="V214" s="74">
        <v>109</v>
      </c>
      <c r="W214" s="74"/>
    </row>
    <row r="215" spans="1:23" ht="12.75">
      <c r="A215" s="10"/>
      <c r="B215" s="10" t="s">
        <v>34</v>
      </c>
      <c r="D215" s="74">
        <f>ROUND(4057*1000/1936.27,0)</f>
        <v>2095</v>
      </c>
      <c r="E215" s="108"/>
      <c r="F215" s="74">
        <f>ROUND(4748*1000/1936.27,0)+1</f>
        <v>2453</v>
      </c>
      <c r="G215" s="50">
        <f>ROUND(81600/1936.27,0)</f>
        <v>42</v>
      </c>
      <c r="H215" s="74">
        <f>ROUND((4982000/1936.27),0)</f>
        <v>2573</v>
      </c>
      <c r="I215" s="50"/>
      <c r="J215" s="74">
        <v>2528</v>
      </c>
      <c r="K215" s="50"/>
      <c r="L215" s="74">
        <v>2798</v>
      </c>
      <c r="M215" s="50"/>
      <c r="N215" s="74">
        <v>2787</v>
      </c>
      <c r="O215" s="50"/>
      <c r="P215" s="74">
        <v>3043</v>
      </c>
      <c r="Q215" s="50"/>
      <c r="R215" s="74">
        <v>2956</v>
      </c>
      <c r="S215" s="50">
        <v>5</v>
      </c>
      <c r="T215" s="74">
        <v>3205</v>
      </c>
      <c r="U215" s="50">
        <v>292</v>
      </c>
      <c r="V215" s="74">
        <v>2851</v>
      </c>
      <c r="W215" s="50">
        <v>20</v>
      </c>
    </row>
    <row r="216" spans="1:23" ht="12.75">
      <c r="A216" s="10"/>
      <c r="B216" s="10" t="s">
        <v>35</v>
      </c>
      <c r="D216" s="74">
        <f>ROUND(0*1000/1936.27,0)</f>
        <v>0</v>
      </c>
      <c r="E216" s="108"/>
      <c r="F216" s="74">
        <v>0</v>
      </c>
      <c r="G216" s="50"/>
      <c r="H216" s="74">
        <v>0</v>
      </c>
      <c r="I216" s="50"/>
      <c r="J216" s="74">
        <v>59</v>
      </c>
      <c r="K216" s="50"/>
      <c r="L216" s="74">
        <v>46</v>
      </c>
      <c r="M216" s="50"/>
      <c r="N216" s="74">
        <v>78</v>
      </c>
      <c r="O216" s="50"/>
      <c r="P216" s="74">
        <v>63</v>
      </c>
      <c r="Q216" s="50"/>
      <c r="R216" s="74"/>
      <c r="S216" s="50"/>
      <c r="T216" s="74"/>
      <c r="U216" s="50"/>
      <c r="V216" s="74"/>
      <c r="W216" s="50"/>
    </row>
    <row r="217" spans="1:23" ht="12.75">
      <c r="A217" s="10"/>
      <c r="B217" s="10" t="s">
        <v>178</v>
      </c>
      <c r="D217" s="74"/>
      <c r="E217" s="108"/>
      <c r="F217" s="74"/>
      <c r="G217" s="50"/>
      <c r="H217" s="74"/>
      <c r="I217" s="50"/>
      <c r="J217" s="74"/>
      <c r="K217" s="50"/>
      <c r="L217" s="74"/>
      <c r="M217" s="50"/>
      <c r="N217" s="74"/>
      <c r="O217" s="50"/>
      <c r="P217" s="74"/>
      <c r="Q217" s="50"/>
      <c r="R217" s="74"/>
      <c r="S217" s="50"/>
      <c r="T217" s="74">
        <v>333</v>
      </c>
      <c r="U217" s="50">
        <v>122</v>
      </c>
      <c r="V217" s="74">
        <v>460</v>
      </c>
      <c r="W217" s="50">
        <v>167</v>
      </c>
    </row>
    <row r="218" spans="1:23" ht="12.75">
      <c r="A218" s="10"/>
      <c r="B218" s="10" t="s">
        <v>36</v>
      </c>
      <c r="D218" s="74">
        <f>ROUND(136*1000/1936.27,0)</f>
        <v>70</v>
      </c>
      <c r="E218" s="108"/>
      <c r="F218" s="74">
        <f>ROUND(113*1000/1936.27,0)</f>
        <v>58</v>
      </c>
      <c r="G218" s="50"/>
      <c r="H218" s="74">
        <f>ROUND((98000/1936.27),0)</f>
        <v>51</v>
      </c>
      <c r="I218" s="50"/>
      <c r="J218" s="74">
        <v>108</v>
      </c>
      <c r="K218" s="50"/>
      <c r="L218" s="74">
        <v>83</v>
      </c>
      <c r="M218" s="50"/>
      <c r="N218" s="74">
        <v>123</v>
      </c>
      <c r="O218" s="50"/>
      <c r="P218" s="74">
        <v>127</v>
      </c>
      <c r="Q218" s="50"/>
      <c r="R218" s="74">
        <v>104</v>
      </c>
      <c r="S218" s="50"/>
      <c r="T218" s="74">
        <v>104</v>
      </c>
      <c r="U218" s="50"/>
      <c r="V218" s="74">
        <v>104</v>
      </c>
      <c r="W218" s="50"/>
    </row>
    <row r="219" spans="1:23" ht="12.75">
      <c r="A219" s="10"/>
      <c r="B219" s="10" t="s">
        <v>122</v>
      </c>
      <c r="D219" s="74">
        <f>ROUND((989-136)*1000/1936.27,0)</f>
        <v>441</v>
      </c>
      <c r="E219" s="108"/>
      <c r="F219" s="74">
        <f>ROUND((975-113)*1000/1936.27,0)</f>
        <v>445</v>
      </c>
      <c r="G219" s="50"/>
      <c r="H219" s="74">
        <f>ROUND((1143000/1936.27),0)</f>
        <v>590</v>
      </c>
      <c r="I219" s="50"/>
      <c r="J219" s="74">
        <v>583</v>
      </c>
      <c r="K219" s="50"/>
      <c r="L219" s="74">
        <v>718</v>
      </c>
      <c r="M219" s="50"/>
      <c r="N219" s="74">
        <v>730</v>
      </c>
      <c r="O219" s="50"/>
      <c r="P219" s="74">
        <v>757</v>
      </c>
      <c r="Q219" s="50"/>
      <c r="R219" s="74">
        <v>902</v>
      </c>
      <c r="S219" s="50">
        <v>30</v>
      </c>
      <c r="T219" s="74">
        <v>1007</v>
      </c>
      <c r="U219" s="50"/>
      <c r="V219" s="74">
        <v>1073</v>
      </c>
      <c r="W219" s="50">
        <v>6</v>
      </c>
    </row>
    <row r="220" spans="1:23" ht="12.75">
      <c r="A220" s="17"/>
      <c r="B220" s="17" t="s">
        <v>123</v>
      </c>
      <c r="D220" s="73">
        <v>101</v>
      </c>
      <c r="E220" s="73">
        <v>0</v>
      </c>
      <c r="F220" s="73">
        <v>98</v>
      </c>
      <c r="G220" s="73">
        <v>0</v>
      </c>
      <c r="H220" s="73">
        <v>111</v>
      </c>
      <c r="I220" s="73">
        <v>0</v>
      </c>
      <c r="J220" s="73">
        <v>94</v>
      </c>
      <c r="K220" s="73">
        <v>0</v>
      </c>
      <c r="L220" s="73">
        <v>115</v>
      </c>
      <c r="M220" s="73">
        <v>0</v>
      </c>
      <c r="N220" s="73">
        <v>97</v>
      </c>
      <c r="O220" s="73">
        <v>0</v>
      </c>
      <c r="P220" s="73">
        <v>107</v>
      </c>
      <c r="Q220" s="73"/>
      <c r="R220" s="73">
        <v>118</v>
      </c>
      <c r="S220" s="73"/>
      <c r="T220" s="73">
        <v>114</v>
      </c>
      <c r="U220" s="73"/>
      <c r="V220" s="73">
        <v>135</v>
      </c>
      <c r="W220" s="73"/>
    </row>
    <row r="221" spans="1:35" s="2" customFormat="1" ht="12.75">
      <c r="A221" s="114" t="s">
        <v>43</v>
      </c>
      <c r="B221" s="115"/>
      <c r="C221" s="115"/>
      <c r="D221" s="62">
        <f>SUM(D222:D228)</f>
        <v>3122</v>
      </c>
      <c r="E221" s="62">
        <f>SUM(E222:E228)</f>
        <v>0</v>
      </c>
      <c r="F221" s="62">
        <f>SUM(F222:F228)</f>
        <v>3371.5</v>
      </c>
      <c r="G221" s="62">
        <f>SUM(G222:G228)</f>
        <v>0</v>
      </c>
      <c r="H221" s="62">
        <f>SUM(H222:H228)-1</f>
        <v>3499</v>
      </c>
      <c r="I221" s="62">
        <f aca="true" t="shared" si="48" ref="I221:O221">SUM(I222:I228)</f>
        <v>0</v>
      </c>
      <c r="J221" s="62">
        <f t="shared" si="48"/>
        <v>3534</v>
      </c>
      <c r="K221" s="62">
        <f t="shared" si="48"/>
        <v>0</v>
      </c>
      <c r="L221" s="62">
        <f t="shared" si="48"/>
        <v>3814</v>
      </c>
      <c r="M221" s="62">
        <f t="shared" si="48"/>
        <v>0</v>
      </c>
      <c r="N221" s="62">
        <f t="shared" si="48"/>
        <v>3838</v>
      </c>
      <c r="O221" s="62">
        <f t="shared" si="48"/>
        <v>0</v>
      </c>
      <c r="P221" s="62">
        <f aca="true" t="shared" si="49" ref="P221:W221">SUM(P222:P228)</f>
        <v>3823</v>
      </c>
      <c r="Q221" s="62">
        <f t="shared" si="49"/>
        <v>0</v>
      </c>
      <c r="R221" s="62">
        <f t="shared" si="49"/>
        <v>3926</v>
      </c>
      <c r="S221" s="62">
        <f t="shared" si="49"/>
        <v>18</v>
      </c>
      <c r="T221" s="62">
        <f t="shared" si="49"/>
        <v>3890</v>
      </c>
      <c r="U221" s="62">
        <f t="shared" si="49"/>
        <v>13</v>
      </c>
      <c r="V221" s="62">
        <f t="shared" si="49"/>
        <v>3989</v>
      </c>
      <c r="W221" s="62">
        <f t="shared" si="49"/>
        <v>85</v>
      </c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</row>
    <row r="222" spans="1:23" ht="12.75">
      <c r="A222" s="10"/>
      <c r="B222" s="10" t="s">
        <v>33</v>
      </c>
      <c r="D222" s="74">
        <f>ROUND(347*1000/1936.27,0)</f>
        <v>179</v>
      </c>
      <c r="E222" s="74"/>
      <c r="F222" s="74">
        <f>ROUND(397*1000/1936.27,0)</f>
        <v>205</v>
      </c>
      <c r="G222" s="74"/>
      <c r="H222" s="74">
        <f>ROUND((448000/1936.27),0)</f>
        <v>231</v>
      </c>
      <c r="I222" s="74"/>
      <c r="J222" s="74">
        <v>197</v>
      </c>
      <c r="K222" s="74"/>
      <c r="L222" s="74">
        <v>211</v>
      </c>
      <c r="M222" s="74"/>
      <c r="N222" s="74">
        <v>172</v>
      </c>
      <c r="O222" s="74"/>
      <c r="P222" s="74">
        <v>189</v>
      </c>
      <c r="Q222" s="74"/>
      <c r="R222" s="74">
        <v>253</v>
      </c>
      <c r="S222" s="74">
        <v>18</v>
      </c>
      <c r="T222" s="74">
        <v>230</v>
      </c>
      <c r="U222" s="74"/>
      <c r="V222" s="74">
        <v>194</v>
      </c>
      <c r="W222" s="74"/>
    </row>
    <row r="223" spans="1:23" ht="12.75">
      <c r="A223" s="10"/>
      <c r="B223" s="10" t="s">
        <v>34</v>
      </c>
      <c r="D223" s="74">
        <f>ROUND(4364*1000/1936.27,0)</f>
        <v>2254</v>
      </c>
      <c r="E223" s="108"/>
      <c r="F223" s="74">
        <f>ROUND(4632*1000/1936.27,0)+0.5</f>
        <v>2392.5</v>
      </c>
      <c r="G223" s="50"/>
      <c r="H223" s="74">
        <f>ROUND((4482000/1936.27),0)</f>
        <v>2315</v>
      </c>
      <c r="I223" s="50"/>
      <c r="J223" s="74">
        <v>2265</v>
      </c>
      <c r="K223" s="50"/>
      <c r="L223" s="74">
        <v>2499</v>
      </c>
      <c r="M223" s="50"/>
      <c r="N223" s="74">
        <v>2503</v>
      </c>
      <c r="O223" s="50"/>
      <c r="P223" s="74">
        <v>2492</v>
      </c>
      <c r="Q223" s="50"/>
      <c r="R223" s="74">
        <v>2550</v>
      </c>
      <c r="S223" s="50"/>
      <c r="T223" s="74">
        <v>2503</v>
      </c>
      <c r="U223" s="50">
        <v>12</v>
      </c>
      <c r="V223" s="74">
        <v>2431</v>
      </c>
      <c r="W223" s="50"/>
    </row>
    <row r="224" spans="1:23" ht="12.75">
      <c r="A224" s="10"/>
      <c r="B224" s="10" t="s">
        <v>35</v>
      </c>
      <c r="D224" s="74">
        <f>ROUND(0*1000/1936.27,0)</f>
        <v>0</v>
      </c>
      <c r="E224" s="108"/>
      <c r="F224" s="74">
        <v>0</v>
      </c>
      <c r="G224" s="50"/>
      <c r="H224" s="74">
        <v>0</v>
      </c>
      <c r="I224" s="50"/>
      <c r="J224" s="74">
        <v>32</v>
      </c>
      <c r="K224" s="50"/>
      <c r="L224" s="74">
        <v>40</v>
      </c>
      <c r="M224" s="50"/>
      <c r="N224" s="74">
        <v>43</v>
      </c>
      <c r="O224" s="50"/>
      <c r="P224" s="74">
        <v>48</v>
      </c>
      <c r="Q224" s="50"/>
      <c r="R224" s="74"/>
      <c r="S224" s="50"/>
      <c r="T224" s="74"/>
      <c r="U224" s="50"/>
      <c r="V224" s="74"/>
      <c r="W224" s="50"/>
    </row>
    <row r="225" spans="1:23" ht="12.75">
      <c r="A225" s="10"/>
      <c r="B225" s="10" t="s">
        <v>178</v>
      </c>
      <c r="D225" s="74"/>
      <c r="E225" s="108"/>
      <c r="F225" s="74"/>
      <c r="G225" s="50"/>
      <c r="H225" s="74"/>
      <c r="I225" s="50"/>
      <c r="J225" s="74"/>
      <c r="K225" s="50"/>
      <c r="L225" s="74"/>
      <c r="M225" s="50"/>
      <c r="N225" s="74"/>
      <c r="O225" s="50"/>
      <c r="P225" s="74"/>
      <c r="Q225" s="50"/>
      <c r="R225" s="74"/>
      <c r="S225" s="50"/>
      <c r="T225" s="74">
        <v>31</v>
      </c>
      <c r="U225" s="50"/>
      <c r="V225" s="74">
        <v>114</v>
      </c>
      <c r="W225" s="50">
        <v>85</v>
      </c>
    </row>
    <row r="226" spans="1:23" ht="12.75">
      <c r="A226" s="10"/>
      <c r="B226" s="10" t="s">
        <v>36</v>
      </c>
      <c r="D226" s="74">
        <v>0</v>
      </c>
      <c r="E226" s="108"/>
      <c r="F226" s="74">
        <v>0</v>
      </c>
      <c r="G226" s="50"/>
      <c r="H226" s="74">
        <f>ROUND((56000/1936.27),0)</f>
        <v>29</v>
      </c>
      <c r="I226" s="50"/>
      <c r="J226" s="74">
        <v>29</v>
      </c>
      <c r="K226" s="50"/>
      <c r="L226" s="74">
        <v>35</v>
      </c>
      <c r="M226" s="50"/>
      <c r="N226" s="74">
        <v>44</v>
      </c>
      <c r="O226" s="50"/>
      <c r="P226" s="74">
        <v>60</v>
      </c>
      <c r="Q226" s="50"/>
      <c r="R226" s="74">
        <v>65</v>
      </c>
      <c r="S226" s="50"/>
      <c r="T226" s="74">
        <v>65</v>
      </c>
      <c r="U226" s="50"/>
      <c r="V226" s="74">
        <v>77</v>
      </c>
      <c r="W226" s="50"/>
    </row>
    <row r="227" spans="1:23" ht="12.75">
      <c r="A227" s="10"/>
      <c r="B227" s="10" t="s">
        <v>122</v>
      </c>
      <c r="D227" s="74">
        <f>ROUND(1271*1000/1936.27,0)</f>
        <v>656</v>
      </c>
      <c r="E227" s="108"/>
      <c r="F227" s="74">
        <f>ROUND(1301*1000/1936.27,0)</f>
        <v>672</v>
      </c>
      <c r="G227" s="50"/>
      <c r="H227" s="74">
        <f>ROUND((1587000/1936.27),0)</f>
        <v>820</v>
      </c>
      <c r="I227" s="50"/>
      <c r="J227" s="74">
        <v>849</v>
      </c>
      <c r="K227" s="50"/>
      <c r="L227" s="74">
        <v>898</v>
      </c>
      <c r="M227" s="50"/>
      <c r="N227" s="74">
        <v>984</v>
      </c>
      <c r="O227" s="50"/>
      <c r="P227" s="74">
        <v>938</v>
      </c>
      <c r="Q227" s="50"/>
      <c r="R227" s="74">
        <v>921</v>
      </c>
      <c r="S227" s="50"/>
      <c r="T227" s="74">
        <v>938</v>
      </c>
      <c r="U227" s="50"/>
      <c r="V227" s="74">
        <v>1034</v>
      </c>
      <c r="W227" s="50"/>
    </row>
    <row r="228" spans="1:23" ht="12.75">
      <c r="A228" s="10"/>
      <c r="B228" s="10" t="s">
        <v>123</v>
      </c>
      <c r="D228" s="74">
        <v>33</v>
      </c>
      <c r="E228" s="74">
        <v>0</v>
      </c>
      <c r="F228" s="74">
        <v>102</v>
      </c>
      <c r="G228" s="74">
        <v>0</v>
      </c>
      <c r="H228" s="74">
        <v>105</v>
      </c>
      <c r="I228" s="74">
        <v>0</v>
      </c>
      <c r="J228" s="74">
        <v>162</v>
      </c>
      <c r="K228" s="74">
        <v>0</v>
      </c>
      <c r="L228" s="74">
        <v>131</v>
      </c>
      <c r="M228" s="74">
        <v>0</v>
      </c>
      <c r="N228" s="74">
        <v>92</v>
      </c>
      <c r="O228" s="74">
        <v>0</v>
      </c>
      <c r="P228" s="74">
        <v>96</v>
      </c>
      <c r="Q228" s="74"/>
      <c r="R228" s="74">
        <v>137</v>
      </c>
      <c r="S228" s="74"/>
      <c r="T228" s="74">
        <v>123</v>
      </c>
      <c r="U228" s="74">
        <v>1</v>
      </c>
      <c r="V228" s="74">
        <v>139</v>
      </c>
      <c r="W228" s="74"/>
    </row>
    <row r="229" spans="1:35" s="2" customFormat="1" ht="12.75">
      <c r="A229" s="114" t="s">
        <v>44</v>
      </c>
      <c r="B229" s="115"/>
      <c r="C229" s="115"/>
      <c r="D229" s="62">
        <f aca="true" t="shared" si="50" ref="D229:O229">SUM(D230:D236)</f>
        <v>3641</v>
      </c>
      <c r="E229" s="62">
        <f t="shared" si="50"/>
        <v>0</v>
      </c>
      <c r="F229" s="62">
        <f t="shared" si="50"/>
        <v>3968</v>
      </c>
      <c r="G229" s="62">
        <f t="shared" si="50"/>
        <v>15</v>
      </c>
      <c r="H229" s="62">
        <f t="shared" si="50"/>
        <v>4162</v>
      </c>
      <c r="I229" s="62">
        <f t="shared" si="50"/>
        <v>15.493706972684596</v>
      </c>
      <c r="J229" s="62">
        <f t="shared" si="50"/>
        <v>4559</v>
      </c>
      <c r="K229" s="62">
        <f t="shared" si="50"/>
        <v>5</v>
      </c>
      <c r="L229" s="62">
        <f t="shared" si="50"/>
        <v>4505</v>
      </c>
      <c r="M229" s="62">
        <f t="shared" si="50"/>
        <v>0</v>
      </c>
      <c r="N229" s="62">
        <f t="shared" si="50"/>
        <v>4629</v>
      </c>
      <c r="O229" s="62">
        <f t="shared" si="50"/>
        <v>15</v>
      </c>
      <c r="P229" s="62">
        <f aca="true" t="shared" si="51" ref="P229:W229">SUM(P230:P236)</f>
        <v>4813</v>
      </c>
      <c r="Q229" s="62">
        <f t="shared" si="51"/>
        <v>0</v>
      </c>
      <c r="R229" s="62">
        <f t="shared" si="51"/>
        <v>5248</v>
      </c>
      <c r="S229" s="62">
        <f t="shared" si="51"/>
        <v>6</v>
      </c>
      <c r="T229" s="62">
        <f t="shared" si="51"/>
        <v>5831</v>
      </c>
      <c r="U229" s="62">
        <f t="shared" si="51"/>
        <v>132</v>
      </c>
      <c r="V229" s="62">
        <f t="shared" si="51"/>
        <v>6273</v>
      </c>
      <c r="W229" s="62">
        <f t="shared" si="51"/>
        <v>103</v>
      </c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</row>
    <row r="230" spans="1:23" ht="12.75">
      <c r="A230" s="16"/>
      <c r="B230" s="10" t="s">
        <v>33</v>
      </c>
      <c r="D230" s="74">
        <f>ROUND(714*1000/1936.27,0)+1</f>
        <v>370</v>
      </c>
      <c r="E230" s="74"/>
      <c r="F230" s="74">
        <f>ROUND(674*1000/1936.27,0)+1</f>
        <v>349</v>
      </c>
      <c r="G230" s="74"/>
      <c r="H230" s="74">
        <f>ROUND((598000/1936.27),0)</f>
        <v>309</v>
      </c>
      <c r="I230" s="74"/>
      <c r="J230" s="74">
        <v>289</v>
      </c>
      <c r="K230" s="74"/>
      <c r="L230" s="74">
        <v>199</v>
      </c>
      <c r="M230" s="74"/>
      <c r="N230" s="74">
        <v>263</v>
      </c>
      <c r="O230" s="74"/>
      <c r="P230" s="74">
        <v>275</v>
      </c>
      <c r="Q230" s="74"/>
      <c r="R230" s="74">
        <v>335</v>
      </c>
      <c r="S230" s="74"/>
      <c r="T230" s="74">
        <v>222</v>
      </c>
      <c r="U230" s="74"/>
      <c r="V230" s="74">
        <v>170</v>
      </c>
      <c r="W230" s="74"/>
    </row>
    <row r="231" spans="1:23" ht="12.75">
      <c r="A231" s="16"/>
      <c r="B231" s="10" t="s">
        <v>34</v>
      </c>
      <c r="D231" s="74">
        <f>ROUND(4726*1000/1936.27,0)</f>
        <v>2441</v>
      </c>
      <c r="E231" s="52"/>
      <c r="F231" s="74">
        <f>ROUND(5196*1000/1936.27,0)</f>
        <v>2684</v>
      </c>
      <c r="G231" s="52"/>
      <c r="H231" s="74">
        <f>ROUND((5430000/1936.27),0)</f>
        <v>2804</v>
      </c>
      <c r="I231" s="52">
        <f>30/1.93627</f>
        <v>15.493706972684596</v>
      </c>
      <c r="J231" s="74">
        <v>2883</v>
      </c>
      <c r="K231" s="52"/>
      <c r="L231" s="74">
        <v>2919</v>
      </c>
      <c r="M231" s="52"/>
      <c r="N231" s="74">
        <v>2929</v>
      </c>
      <c r="O231" s="52"/>
      <c r="P231" s="74">
        <v>2719</v>
      </c>
      <c r="Q231" s="52"/>
      <c r="R231" s="74">
        <v>2692</v>
      </c>
      <c r="S231" s="52">
        <v>6</v>
      </c>
      <c r="T231" s="74">
        <v>2993</v>
      </c>
      <c r="U231" s="52">
        <v>112</v>
      </c>
      <c r="V231" s="74">
        <v>3103</v>
      </c>
      <c r="W231" s="52">
        <v>75</v>
      </c>
    </row>
    <row r="232" spans="1:23" ht="12.75">
      <c r="A232" s="16"/>
      <c r="B232" s="10" t="s">
        <v>35</v>
      </c>
      <c r="D232" s="74">
        <f>ROUND(0*1000/1936.27,0)</f>
        <v>0</v>
      </c>
      <c r="E232" s="52"/>
      <c r="F232" s="74">
        <v>0</v>
      </c>
      <c r="G232" s="52"/>
      <c r="H232" s="74">
        <v>0</v>
      </c>
      <c r="I232" s="52"/>
      <c r="J232" s="74">
        <v>58</v>
      </c>
      <c r="K232" s="52"/>
      <c r="L232" s="74">
        <v>79</v>
      </c>
      <c r="M232" s="52"/>
      <c r="N232" s="74">
        <v>50</v>
      </c>
      <c r="O232" s="52"/>
      <c r="P232" s="74">
        <v>91</v>
      </c>
      <c r="Q232" s="52"/>
      <c r="R232" s="74"/>
      <c r="S232" s="52"/>
      <c r="T232" s="74"/>
      <c r="U232" s="52"/>
      <c r="V232" s="74"/>
      <c r="W232" s="52"/>
    </row>
    <row r="233" spans="1:23" ht="12.75">
      <c r="A233" s="16"/>
      <c r="B233" s="10" t="s">
        <v>178</v>
      </c>
      <c r="D233" s="74"/>
      <c r="E233" s="52"/>
      <c r="F233" s="74"/>
      <c r="G233" s="52"/>
      <c r="H233" s="74"/>
      <c r="I233" s="52"/>
      <c r="J233" s="74"/>
      <c r="K233" s="52"/>
      <c r="L233" s="74"/>
      <c r="M233" s="52"/>
      <c r="N233" s="74"/>
      <c r="O233" s="52"/>
      <c r="P233" s="74">
        <v>159</v>
      </c>
      <c r="Q233" s="52"/>
      <c r="R233" s="74">
        <v>631</v>
      </c>
      <c r="S233" s="52"/>
      <c r="T233" s="74">
        <v>938</v>
      </c>
      <c r="U233" s="52">
        <v>20</v>
      </c>
      <c r="V233" s="74">
        <v>1297</v>
      </c>
      <c r="W233" s="52">
        <v>28</v>
      </c>
    </row>
    <row r="234" spans="1:23" ht="12.75">
      <c r="A234" s="16"/>
      <c r="B234" s="10" t="s">
        <v>36</v>
      </c>
      <c r="D234" s="74">
        <f>ROUND(134*1000/1936.27,0)</f>
        <v>69</v>
      </c>
      <c r="E234" s="52"/>
      <c r="F234" s="74">
        <f>ROUND(110*1000/1936.27,0)</f>
        <v>57</v>
      </c>
      <c r="G234" s="52"/>
      <c r="H234" s="74">
        <f>ROUND((139000/1936.27),0)</f>
        <v>72</v>
      </c>
      <c r="I234" s="52"/>
      <c r="J234" s="74">
        <v>72</v>
      </c>
      <c r="K234" s="52"/>
      <c r="L234" s="74">
        <v>85</v>
      </c>
      <c r="M234" s="52"/>
      <c r="N234" s="74">
        <v>118</v>
      </c>
      <c r="O234" s="52"/>
      <c r="P234" s="74">
        <v>131</v>
      </c>
      <c r="Q234" s="52"/>
      <c r="R234" s="74">
        <v>154</v>
      </c>
      <c r="S234" s="52"/>
      <c r="T234" s="74">
        <v>166</v>
      </c>
      <c r="U234" s="52"/>
      <c r="V234" s="74">
        <v>178</v>
      </c>
      <c r="W234" s="52"/>
    </row>
    <row r="235" spans="1:23" ht="12.75">
      <c r="A235" s="16"/>
      <c r="B235" s="10" t="s">
        <v>122</v>
      </c>
      <c r="D235" s="74">
        <f>ROUND((1251-134)*1000/1936.27,0)</f>
        <v>577</v>
      </c>
      <c r="E235" s="52"/>
      <c r="F235" s="74">
        <f>ROUND((1487-110)*1000/1936.27,0)</f>
        <v>711</v>
      </c>
      <c r="G235" s="52"/>
      <c r="H235" s="74">
        <f>ROUND((1589000/1936.27),0)</f>
        <v>821</v>
      </c>
      <c r="I235" s="52"/>
      <c r="J235" s="74">
        <v>924</v>
      </c>
      <c r="K235" s="52"/>
      <c r="L235" s="74">
        <v>853</v>
      </c>
      <c r="M235" s="52"/>
      <c r="N235" s="74">
        <v>949</v>
      </c>
      <c r="O235" s="52"/>
      <c r="P235" s="74">
        <v>1077</v>
      </c>
      <c r="Q235" s="52"/>
      <c r="R235" s="74">
        <v>1056</v>
      </c>
      <c r="S235" s="52"/>
      <c r="T235" s="74">
        <v>1133</v>
      </c>
      <c r="U235" s="52"/>
      <c r="V235" s="74">
        <v>1170</v>
      </c>
      <c r="W235" s="52"/>
    </row>
    <row r="236" spans="1:23" ht="12.75">
      <c r="A236" s="16"/>
      <c r="B236" s="10" t="s">
        <v>123</v>
      </c>
      <c r="D236" s="73">
        <v>184</v>
      </c>
      <c r="E236" s="73">
        <v>0</v>
      </c>
      <c r="F236" s="73">
        <v>167</v>
      </c>
      <c r="G236" s="73">
        <v>15</v>
      </c>
      <c r="H236" s="73">
        <v>156</v>
      </c>
      <c r="I236" s="73">
        <v>0</v>
      </c>
      <c r="J236" s="73">
        <v>333</v>
      </c>
      <c r="K236" s="73">
        <v>5</v>
      </c>
      <c r="L236" s="73">
        <v>370</v>
      </c>
      <c r="M236" s="73">
        <v>0</v>
      </c>
      <c r="N236" s="73">
        <v>320</v>
      </c>
      <c r="O236" s="73">
        <v>15</v>
      </c>
      <c r="P236" s="73">
        <v>361</v>
      </c>
      <c r="Q236" s="73"/>
      <c r="R236" s="73">
        <v>380</v>
      </c>
      <c r="S236" s="73"/>
      <c r="T236" s="73">
        <v>379</v>
      </c>
      <c r="U236" s="73"/>
      <c r="V236" s="73">
        <v>355</v>
      </c>
      <c r="W236" s="73"/>
    </row>
    <row r="237" spans="1:23" ht="15.75">
      <c r="A237" s="119" t="s">
        <v>45</v>
      </c>
      <c r="B237" s="120"/>
      <c r="C237" s="120"/>
      <c r="D237" s="75">
        <f>+D152+D54+D22+D12+D10-1</f>
        <v>113933</v>
      </c>
      <c r="E237" s="75">
        <f aca="true" t="shared" si="52" ref="E237:W237">+E152+E54+E22+E12+E10</f>
        <v>14721</v>
      </c>
      <c r="F237" s="75">
        <f t="shared" si="52"/>
        <v>128265</v>
      </c>
      <c r="G237" s="75">
        <f t="shared" si="52"/>
        <v>19397</v>
      </c>
      <c r="H237" s="75">
        <f t="shared" si="52"/>
        <v>127825</v>
      </c>
      <c r="I237" s="75">
        <f t="shared" si="52"/>
        <v>15916.17221771757</v>
      </c>
      <c r="J237" s="75">
        <f t="shared" si="52"/>
        <v>138404</v>
      </c>
      <c r="K237" s="75">
        <f t="shared" si="52"/>
        <v>21935</v>
      </c>
      <c r="L237" s="75">
        <f t="shared" si="52"/>
        <v>144124</v>
      </c>
      <c r="M237" s="75">
        <f t="shared" si="52"/>
        <v>23087</v>
      </c>
      <c r="N237" s="75">
        <f t="shared" si="52"/>
        <v>151822</v>
      </c>
      <c r="O237" s="75">
        <f t="shared" si="52"/>
        <v>24809</v>
      </c>
      <c r="P237" s="75">
        <f t="shared" si="52"/>
        <v>154094</v>
      </c>
      <c r="Q237" s="75">
        <f t="shared" si="52"/>
        <v>28088</v>
      </c>
      <c r="R237" s="75">
        <f t="shared" si="52"/>
        <v>135717</v>
      </c>
      <c r="S237" s="75">
        <f t="shared" si="52"/>
        <v>17471</v>
      </c>
      <c r="T237" s="75">
        <f t="shared" si="52"/>
        <v>150965</v>
      </c>
      <c r="U237" s="75">
        <f t="shared" si="52"/>
        <v>25758</v>
      </c>
      <c r="V237" s="75">
        <f t="shared" si="52"/>
        <v>157499</v>
      </c>
      <c r="W237" s="75">
        <f t="shared" si="52"/>
        <v>32689</v>
      </c>
    </row>
    <row r="238" ht="6" customHeight="1">
      <c r="A238" s="23"/>
    </row>
    <row r="239" spans="1:19" ht="12.75">
      <c r="A239" s="19" t="s">
        <v>82</v>
      </c>
      <c r="N239" s="29"/>
      <c r="O239" s="29"/>
      <c r="P239" s="29"/>
      <c r="Q239" s="29"/>
      <c r="R239" s="29"/>
      <c r="S239" s="29"/>
    </row>
    <row r="240" ht="12.75">
      <c r="A240" s="19" t="s">
        <v>125</v>
      </c>
    </row>
    <row r="241" ht="3" customHeight="1"/>
    <row r="242" ht="12.75">
      <c r="A242" s="31" t="s">
        <v>184</v>
      </c>
    </row>
    <row r="243" ht="12.75">
      <c r="A243" s="23"/>
    </row>
    <row r="244" spans="1:23" ht="12.75">
      <c r="A244" s="23"/>
      <c r="L244" s="59"/>
      <c r="M244" s="59"/>
      <c r="O244" s="59"/>
      <c r="Q244" s="59"/>
      <c r="S244" s="59"/>
      <c r="T244" s="59"/>
      <c r="U244" s="59"/>
      <c r="V244" s="59"/>
      <c r="W244" s="59"/>
    </row>
    <row r="245" ht="12.75">
      <c r="A245" s="19"/>
    </row>
    <row r="246" ht="12.75">
      <c r="A246" s="19"/>
    </row>
    <row r="247" spans="1:35" s="1" customFormat="1" ht="12.75">
      <c r="A247" s="19"/>
      <c r="B247" s="3"/>
      <c r="C247" s="3"/>
      <c r="D247" s="59"/>
      <c r="E247" s="59"/>
      <c r="F247" s="59"/>
      <c r="G247" s="59"/>
      <c r="H247" s="59"/>
      <c r="I247" s="59"/>
      <c r="J247" s="59"/>
      <c r="K247" s="59"/>
      <c r="L247" s="76"/>
      <c r="M247" s="76"/>
      <c r="N247" s="59"/>
      <c r="O247" s="76"/>
      <c r="P247" s="59"/>
      <c r="Q247" s="76"/>
      <c r="R247" s="59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9" ht="12.75">
      <c r="A269" s="19"/>
    </row>
    <row r="423" ht="12.75">
      <c r="E423" s="59">
        <f>133000</f>
        <v>133000</v>
      </c>
    </row>
    <row r="425" ht="12.75">
      <c r="E425" s="59">
        <v>1936.27</v>
      </c>
    </row>
    <row r="426" ht="12.75">
      <c r="E426" s="59">
        <f>+E423/E425</f>
        <v>68.6887675789017</v>
      </c>
    </row>
    <row r="456" ht="12.75">
      <c r="D456" s="59" t="s">
        <v>46</v>
      </c>
    </row>
  </sheetData>
  <hyperlinks>
    <hyperlink ref="A86:C86" location="ISTRUZIONE!D1" display="ISTRUZIONE!D1"/>
    <hyperlink ref="A86" location="ISTRUZIONE!E1" display="ISTRUZIONE!E1"/>
    <hyperlink ref="C86" location="ISTRUZIONE!V1" display="ISTRUZIONE!V1"/>
    <hyperlink ref="A116:C116" location="'SPORT E GIOVANI'!V1" display="'SPORT E GIOVANI'!V1"/>
    <hyperlink ref="A55:C55" location="'Lavori pubblici'!A1" display="'Lavori pubblici'!A1"/>
    <hyperlink ref="A144:C144" location="'Ambiente e verde'!A1" display="'Ambiente e verde'!A1"/>
    <hyperlink ref="A34:C34" location="PERSONALE!R1" display="PERSONALE!R1"/>
    <hyperlink ref="A41:C41" location="'P&amp;C'!S1" display="'P&amp;C'!S1"/>
    <hyperlink ref="A45:C45" location="'SISTEMI INFO'!S1" display="'SISTEMI INFO'!S1"/>
    <hyperlink ref="A111:C111" location="ECONOMIA!T1" display="ECONOMIA!T1"/>
    <hyperlink ref="A94:C94" location="CULTURA!R1" display="CULTURA!R1"/>
    <hyperlink ref="A131:C131" location="MOBILITA!T1" display="MOBILITA!T1"/>
    <hyperlink ref="A124:C124" location="'Programmi urbanistici'!A1" display="'Programmi urbanistici'!A1"/>
    <hyperlink ref="A81:C81" location="'SERVIZI SOCIALI'!T1" display="'SERVIZI SOCIALI'!T1"/>
    <hyperlink ref="A13:C13" location="GABINETTO!S1" display="GABINETTO!S1"/>
    <hyperlink ref="A21:C21" location="SEGR.GEN!t1" display="SEGR.GEN!t1"/>
    <hyperlink ref="A73:C73" location="PM!S1" display="PM!S1"/>
    <hyperlink ref="A19:C19" location="'STAFF CONS'!S1" display="'STAFF CONS'!S1"/>
    <hyperlink ref="A20:C20" location="'PART. SOCIETARIE'!A1" display="'PART. SOCIETARIE'!A1"/>
    <hyperlink ref="A24:C24" location="LEGALE!S1" display="LEGALE!S1"/>
    <hyperlink ref="A50:C50" location="Comunicazione!A1" display="Comunicazione!A1"/>
    <hyperlink ref="A152" location="QUARTIERI!A1" display="QUARTIERI!A1"/>
    <hyperlink ref="A25:C25" location="'AFFARI IST'!S1" display="'AFFARI IST'!S1"/>
    <hyperlink ref="A31:C31" location="ACQUISTI!S1" display="ACQUISTI!S1"/>
    <hyperlink ref="A10:C10" location="'DIREZIONE GEN'!S1" display="'DIREZIONE GEN'!S1"/>
    <hyperlink ref="A237:C237" location="TOTALE!T1" display="TOTALE!T1"/>
    <hyperlink ref="A23:C23" location="'STAFF AMM.'!A1" display="'STAFF AMM.'!A1"/>
    <hyperlink ref="A49:C49" location="RAGIONERIA!A1" display="RAGIONERIA!A1"/>
    <hyperlink ref="A79:C79" location="ENTRATE!A1" display="ENTRATE!A1"/>
    <hyperlink ref="A80:C80" location="PATRIMONIO!A1" display="PATRIMONIO!A1"/>
    <hyperlink ref="A143:C143" location="'Interventi per casa'!A1" display="'Interventi per casa'!A1"/>
    <hyperlink ref="A147:C147" location="DEMOGRAFICI!A1" display="DEMOGRAFICI!A1"/>
    <hyperlink ref="A147" location="'Servizi demografici'!A1" display="'Servizi demografici'!A1"/>
    <hyperlink ref="A10" location="'DIR GEN'!A1" display="'DIR GEN'!A1"/>
    <hyperlink ref="A13" location="Gabinetto!A1" display="Gabinetto!A1"/>
    <hyperlink ref="A19" location="'Staff del Consiglio'!A1" display="'Staff del Consiglio'!A1"/>
    <hyperlink ref="A20" location="'Partecipazione soc'!A1" display="'Partecipazione soc'!A1"/>
    <hyperlink ref="A24" location="Legale!A1" display="Legale!A1"/>
    <hyperlink ref="A21" location="'Segreteria Generale'!A1" display="'Segreteria Generale'!A1"/>
    <hyperlink ref="A23" location="'Amministrativo '!A1" display="'Amministrativo '!A1"/>
    <hyperlink ref="A25" location="'Affari ist'!A1" display="'Affari ist'!A1"/>
    <hyperlink ref="A49" location="Ragioneria!A1" display="Ragioneria!A1"/>
    <hyperlink ref="A31" location="Acquisti!A1" display="Acquisti!A1"/>
    <hyperlink ref="A34" location="'Personale '!A1" display="'Personale '!A1"/>
    <hyperlink ref="A41" location="'P&amp;C'!A1" display="'P&amp;C'!A1"/>
    <hyperlink ref="A45" location="'Sistemi info'!A1" display="'Sistemi info'!A1"/>
    <hyperlink ref="A55" location="LLPP!A1" display="LLPP!A1"/>
    <hyperlink ref="A81" location="'Sociale e salute'!A1" display="'Sociale e salute'!A1"/>
    <hyperlink ref="A94" location="Cultura!A1" display="Cultura!A1"/>
    <hyperlink ref="A111" location="'Attività produttive'!A1" display="'Attività produttive'!A1"/>
    <hyperlink ref="A116" location="Sport!A1" display="Sport!A1"/>
    <hyperlink ref="A124" location="Territorio!A1" display="Territorio!A1"/>
    <hyperlink ref="A131" location="Mobilità!A1" display="Mobilità!A1"/>
    <hyperlink ref="A143" location="Casa!A1" display="Casa!A1"/>
    <hyperlink ref="A144" location="'Ambiente '!A1" display="'Ambiente '!A1"/>
    <hyperlink ref="A50" location="'Comunicazione '!A1" display="'Comunicazione '!A1"/>
    <hyperlink ref="A73" location="PM!A1" display="PM!A1"/>
    <hyperlink ref="A237" location="'TOTALE CS'!A1" display="'TOTALE CS'!A1"/>
    <hyperlink ref="A12" location="'Staff politico isti'!A1" display="'Staff politico isti'!A1"/>
    <hyperlink ref="A22" location="'Settori di staff'!A1" display="'Settori di staff'!A1"/>
    <hyperlink ref="A153" location="'Coord Quartieri'!A1" display="'Coord Quartieri'!A1"/>
    <hyperlink ref="A54" location="'Settori di line'!A1" display="'Settori di line'!A1"/>
    <hyperlink ref="A165" location="Q.Borgo!A1" display="Q.Borgo!A1"/>
    <hyperlink ref="A173" location="Q.Navile!A1" display="Q.Navile!A1"/>
    <hyperlink ref="A181" location="Q.Porto!A1" display="Q.Porto!A1"/>
    <hyperlink ref="A189" location="Q.Reno!A1" display="Q.Reno!A1"/>
    <hyperlink ref="A197" location="Q.SDonato!A1" display="Q.SDonato!A1"/>
    <hyperlink ref="A205" location="Q.SStefano!A1" display="Q.SStefano!A1"/>
    <hyperlink ref="A213" location="Q.SVitale!A1" display="Q.SVitale!A1"/>
    <hyperlink ref="A221" location="Q.Saragozza!A1" display="Q.Saragozza!A1"/>
    <hyperlink ref="A229" location="Q.Savena!A1" display="Q.Savena!A1"/>
  </hyperlinks>
  <printOptions/>
  <pageMargins left="0.18" right="0.18" top="0.21" bottom="0.13" header="0.14" footer="0.12"/>
  <pageSetup horizontalDpi="600" verticalDpi="600" orientation="landscape" paperSize="9" scale="60" r:id="rId1"/>
  <rowBreaks count="1" manualBreakCount="1">
    <brk id="5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K8" sqref="K8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160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'!D23</f>
        <v>0</v>
      </c>
      <c r="C3" s="39">
        <f>+'Cons spec netti '!E23</f>
        <v>0</v>
      </c>
      <c r="D3" s="39">
        <f>+'Cons spec netti '!F23</f>
        <v>0</v>
      </c>
      <c r="E3" s="39">
        <f>+'Cons spec netti '!G23</f>
        <v>0</v>
      </c>
      <c r="F3" s="39">
        <f>+'Cons spec netti '!H23</f>
        <v>0</v>
      </c>
      <c r="G3" s="39">
        <f>+'Cons spec netti '!I23</f>
        <v>7</v>
      </c>
      <c r="H3" s="39">
        <f>+'Cons spec netti '!J23</f>
        <v>6</v>
      </c>
      <c r="I3" s="39">
        <f>+'Cons spec netti '!K23</f>
        <v>5</v>
      </c>
      <c r="J3" s="39">
        <f>+'Cons spec netti '!L23</f>
        <v>6</v>
      </c>
      <c r="K3" s="39">
        <f>+'Cons spec netti '!M23</f>
        <v>5</v>
      </c>
    </row>
    <row r="4" spans="1:11" ht="15" customHeight="1">
      <c r="A4" s="47" t="s">
        <v>52</v>
      </c>
      <c r="B4" s="39">
        <f>+'Cons spec tot e finalizzati'!E23</f>
        <v>0</v>
      </c>
      <c r="C4" s="29">
        <f>+'Cons spec tot e finalizzati'!G23</f>
        <v>0</v>
      </c>
      <c r="D4" s="41">
        <f>+'Cons spec tot e finalizzati'!I23</f>
        <v>0</v>
      </c>
      <c r="E4" s="41">
        <f>+'Cons spec tot e finalizzati'!K23</f>
        <v>0</v>
      </c>
      <c r="F4" s="41">
        <f>+'Cons spec tot e finalizzati'!M23</f>
        <v>0</v>
      </c>
      <c r="G4" s="41">
        <f>+'Cons spec tot e finalizzati'!O23</f>
        <v>0</v>
      </c>
      <c r="H4" s="41">
        <f>+'Cons spec tot e finalizzati'!Q23</f>
        <v>0</v>
      </c>
      <c r="I4" s="41">
        <f>+'Cons spec tot e finalizzati'!S23</f>
        <v>0</v>
      </c>
      <c r="J4" s="41">
        <f>+'Cons spec tot e finalizzati'!U23</f>
        <v>0</v>
      </c>
      <c r="K4" s="41">
        <f>+'Cons spec tot e finalizzati'!W23</f>
        <v>0</v>
      </c>
    </row>
    <row r="5" spans="2:3" ht="12.75">
      <c r="B5" s="39"/>
      <c r="C5" s="4"/>
    </row>
    <row r="6" spans="2:11" ht="12.75">
      <c r="B6" s="144"/>
      <c r="C6" s="145"/>
      <c r="D6" s="145"/>
      <c r="E6" s="145"/>
      <c r="F6" s="145"/>
      <c r="G6" s="145"/>
      <c r="H6" s="145"/>
      <c r="I6" s="145"/>
      <c r="J6" s="145"/>
      <c r="K6" s="145"/>
    </row>
    <row r="7" spans="2:7" ht="12.75">
      <c r="B7" s="40"/>
      <c r="C7" s="40"/>
      <c r="D7" s="40"/>
      <c r="E7" s="40"/>
      <c r="G7" s="40"/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7" ht="12.75">
      <c r="A27" s="154" t="s">
        <v>167</v>
      </c>
    </row>
  </sheetData>
  <hyperlinks>
    <hyperlink ref="A27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6.7109375" style="0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137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'!D24</f>
        <v>315</v>
      </c>
      <c r="C3" s="39">
        <f>+'Cons spec netti '!E24</f>
        <v>227</v>
      </c>
      <c r="D3" s="39">
        <f>+'Cons spec netti '!F24</f>
        <v>239</v>
      </c>
      <c r="E3" s="39">
        <f>+'Cons spec netti '!G24</f>
        <v>280</v>
      </c>
      <c r="F3" s="39">
        <f>+'Cons spec netti '!H24</f>
        <v>265</v>
      </c>
      <c r="G3" s="39">
        <f>+'Cons spec netti '!I24</f>
        <v>215</v>
      </c>
      <c r="H3" s="39">
        <f>+'Cons spec netti '!J24</f>
        <v>203</v>
      </c>
      <c r="I3" s="39">
        <f>+'Cons spec netti '!K24</f>
        <v>224</v>
      </c>
      <c r="J3" s="39">
        <f>+'Cons spec netti '!L24</f>
        <v>298</v>
      </c>
      <c r="K3" s="39">
        <f>+'Cons spec netti '!M24</f>
        <v>200</v>
      </c>
    </row>
    <row r="4" spans="1:11" ht="15" customHeight="1">
      <c r="A4" s="47" t="s">
        <v>52</v>
      </c>
      <c r="B4" s="39">
        <f>+'Cons spec tot e finalizzati'!E24</f>
        <v>0</v>
      </c>
      <c r="C4" s="41">
        <f>+'Cons spec tot e finalizzati'!G24</f>
        <v>0</v>
      </c>
      <c r="D4" s="41">
        <f>+'Cons spec tot e finalizzati'!I24</f>
        <v>0</v>
      </c>
      <c r="E4" s="41">
        <f>+'Cons spec tot e finalizzati'!K24</f>
        <v>0</v>
      </c>
      <c r="F4" s="41">
        <f>+'Cons spec tot e finalizzati'!M24</f>
        <v>0</v>
      </c>
      <c r="G4" s="41">
        <f>+'Cons spec tot e finalizzati'!O24</f>
        <v>0</v>
      </c>
      <c r="H4" s="41">
        <f>+'Cons spec tot e finalizzati'!Q24</f>
        <v>0</v>
      </c>
      <c r="I4" s="41">
        <f>+'Cons spec tot e finalizzati'!S24</f>
        <v>0</v>
      </c>
      <c r="J4" s="41">
        <f>+'Cons spec tot e finalizzati'!U24</f>
        <v>0</v>
      </c>
      <c r="K4" s="41">
        <f>+'Cons spec tot e finalizzati'!W24</f>
        <v>0</v>
      </c>
    </row>
    <row r="5" ht="12.75">
      <c r="B5" s="39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72.06349206349206</v>
      </c>
      <c r="D6" s="145">
        <f t="shared" si="0"/>
        <v>75.87301587301587</v>
      </c>
      <c r="E6" s="145">
        <f t="shared" si="0"/>
        <v>88.88888888888889</v>
      </c>
      <c r="F6" s="145">
        <f t="shared" si="0"/>
        <v>84.12698412698413</v>
      </c>
      <c r="G6" s="145">
        <f t="shared" si="0"/>
        <v>68.25396825396825</v>
      </c>
      <c r="H6" s="145">
        <f t="shared" si="0"/>
        <v>64.44444444444444</v>
      </c>
      <c r="I6" s="145">
        <f t="shared" si="0"/>
        <v>71.11111111111111</v>
      </c>
      <c r="J6" s="145">
        <f t="shared" si="0"/>
        <v>94.6031746031746</v>
      </c>
      <c r="K6" s="145">
        <f>+K3/$B$3*100</f>
        <v>63.49206349206349</v>
      </c>
    </row>
    <row r="7" spans="1:11" ht="12.75">
      <c r="A7" t="s">
        <v>49</v>
      </c>
      <c r="B7" s="40">
        <f>+'Partecipazione soc'!B7</f>
        <v>100</v>
      </c>
      <c r="C7" s="40">
        <f>+'Partecipazione soc'!C7</f>
        <v>102.5</v>
      </c>
      <c r="D7" s="40">
        <f>+'Partecipazione soc'!D7</f>
        <v>105.2</v>
      </c>
      <c r="E7" s="40">
        <f>+'Partecipazione soc'!E7</f>
        <v>107.7</v>
      </c>
      <c r="F7" s="40">
        <f>+'Partecipazione soc'!F7</f>
        <v>109.8</v>
      </c>
      <c r="G7" s="40">
        <f>+'Partecipazione soc'!G7</f>
        <v>111.5</v>
      </c>
      <c r="H7" s="40">
        <f>+'Partecipazione soc'!H7</f>
        <v>113.1</v>
      </c>
      <c r="I7" s="40">
        <f>+'Partecipazione soc'!I7</f>
        <v>115.4</v>
      </c>
      <c r="J7" s="40">
        <f>+'Partecipazione soc'!J7</f>
        <v>117.5</v>
      </c>
      <c r="K7" s="40">
        <f>+'Partecipazione soc'!K7</f>
        <v>121.1</v>
      </c>
    </row>
    <row r="8" ht="12.75">
      <c r="B8" s="39"/>
    </row>
    <row r="9" ht="12.75">
      <c r="B9" s="39"/>
    </row>
    <row r="10" ht="12.75">
      <c r="B10" s="41"/>
    </row>
    <row r="13" ht="12.75">
      <c r="B13" s="40"/>
    </row>
    <row r="14" ht="12.75">
      <c r="B14" s="40"/>
    </row>
    <row r="15" ht="12.75">
      <c r="B15" s="40"/>
    </row>
    <row r="16" ht="12.75">
      <c r="B16" s="40"/>
    </row>
    <row r="17" ht="12.75">
      <c r="B17" s="40"/>
    </row>
    <row r="18" ht="12.75">
      <c r="B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29" sqref="D29"/>
    </sheetView>
  </sheetViews>
  <sheetFormatPr defaultColWidth="9.140625" defaultRowHeight="12.75"/>
  <cols>
    <col min="1" max="1" width="24.8515625" style="0" bestFit="1" customWidth="1"/>
    <col min="2" max="11" width="7.7109375" style="0" customWidth="1"/>
  </cols>
  <sheetData>
    <row r="1" ht="12.75">
      <c r="A1" s="160" t="s">
        <v>161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'!D25</f>
        <v>459</v>
      </c>
      <c r="C3" s="39">
        <f>+'Cons spec netti '!E25</f>
        <v>235</v>
      </c>
      <c r="D3" s="39">
        <f>+'Cons spec netti '!F25</f>
        <v>225</v>
      </c>
      <c r="E3" s="39">
        <f>+'Cons spec netti '!G25</f>
        <v>182</v>
      </c>
      <c r="F3" s="39">
        <f>+'Cons spec netti '!H25</f>
        <v>188</v>
      </c>
      <c r="G3" s="39">
        <f>+'Cons spec netti '!I25</f>
        <v>143</v>
      </c>
      <c r="H3" s="39">
        <f>+'Cons spec netti '!J25</f>
        <v>89</v>
      </c>
      <c r="I3" s="39">
        <f>+'Cons spec netti '!K25</f>
        <v>48</v>
      </c>
      <c r="J3" s="39">
        <f>+'Cons spec netti '!L25</f>
        <v>158</v>
      </c>
      <c r="K3" s="39">
        <f>+'Cons spec netti '!M25</f>
        <v>70</v>
      </c>
    </row>
    <row r="4" spans="1:11" ht="15" customHeight="1">
      <c r="A4" s="47" t="s">
        <v>52</v>
      </c>
      <c r="B4" s="41">
        <f>+'Cons spec tot e finalizzati'!E25</f>
        <v>41</v>
      </c>
      <c r="C4" s="41">
        <f>+'Cons spec tot e finalizzati'!G25</f>
        <v>0</v>
      </c>
      <c r="D4" s="41">
        <f>+'Cons spec tot e finalizzati'!I25</f>
        <v>0</v>
      </c>
      <c r="E4" s="41">
        <f>+'Cons spec tot e finalizzati'!K25</f>
        <v>0</v>
      </c>
      <c r="F4" s="41">
        <f>+'Cons spec tot e finalizzati'!M25</f>
        <v>0</v>
      </c>
      <c r="G4" s="41">
        <f>+'Cons spec tot e finalizzati'!O25</f>
        <v>0</v>
      </c>
      <c r="H4" s="41">
        <f>+'Cons spec tot e finalizzati'!Q25</f>
        <v>140</v>
      </c>
      <c r="I4" s="41">
        <f>+'Cons spec tot e finalizzati'!S25</f>
        <v>26</v>
      </c>
      <c r="J4" s="41">
        <f>+'Cons spec tot e finalizzati'!U25</f>
        <v>53</v>
      </c>
      <c r="K4" s="41">
        <f>+'Cons spec tot e finalizzati'!W25</f>
        <v>43</v>
      </c>
    </row>
    <row r="6" spans="1:11" ht="12.75">
      <c r="A6" t="s">
        <v>53</v>
      </c>
      <c r="B6" s="145">
        <f>+B7</f>
        <v>100</v>
      </c>
      <c r="C6" s="145">
        <f aca="true" t="shared" si="0" ref="C6:J6">+C3/$B$3*100</f>
        <v>51.19825708061002</v>
      </c>
      <c r="D6" s="145">
        <f t="shared" si="0"/>
        <v>49.01960784313725</v>
      </c>
      <c r="E6" s="145">
        <f t="shared" si="0"/>
        <v>39.651416122004356</v>
      </c>
      <c r="F6" s="145">
        <f t="shared" si="0"/>
        <v>40.95860566448802</v>
      </c>
      <c r="G6" s="145">
        <f t="shared" si="0"/>
        <v>31.154684095860567</v>
      </c>
      <c r="H6" s="145">
        <f t="shared" si="0"/>
        <v>19.389978213507625</v>
      </c>
      <c r="I6" s="145">
        <f t="shared" si="0"/>
        <v>10.457516339869281</v>
      </c>
      <c r="J6" s="145">
        <f t="shared" si="0"/>
        <v>34.42265795206972</v>
      </c>
      <c r="K6" s="145">
        <f>+K3/$B$3*100</f>
        <v>15.250544662309368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11" width="6.7109375" style="0" customWidth="1"/>
  </cols>
  <sheetData>
    <row r="1" ht="12.75">
      <c r="A1" s="160" t="s">
        <v>187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'!D31</f>
        <v>46</v>
      </c>
      <c r="C3" s="39">
        <f>+'Cons spec netti '!E31</f>
        <v>46</v>
      </c>
      <c r="D3" s="39">
        <f>+'Cons spec netti '!F31</f>
        <v>30</v>
      </c>
      <c r="E3" s="39">
        <f>+'Cons spec netti '!G31</f>
        <v>4</v>
      </c>
      <c r="F3" s="39">
        <f>+'Cons spec netti '!H31</f>
        <v>26</v>
      </c>
      <c r="G3" s="39">
        <f>+'Cons spec netti '!I31</f>
        <v>39</v>
      </c>
      <c r="H3" s="39">
        <f>+'Cons spec netti '!J31</f>
        <v>65</v>
      </c>
      <c r="I3" s="39">
        <f>+'Cons spec netti '!K31</f>
        <v>105</v>
      </c>
      <c r="J3" s="39">
        <f>+'Cons spec netti '!L31</f>
        <v>2</v>
      </c>
      <c r="K3" s="39">
        <f>+'Cons spec netti '!M31</f>
        <v>0</v>
      </c>
    </row>
    <row r="4" spans="1:11" ht="15" customHeight="1">
      <c r="A4" s="47" t="s">
        <v>52</v>
      </c>
      <c r="B4" s="39">
        <f>+'Cons spec tot e finalizzati'!E31</f>
        <v>0</v>
      </c>
      <c r="C4" s="39">
        <f>+'Cons spec tot e finalizzati'!G31</f>
        <v>0</v>
      </c>
      <c r="D4" s="39">
        <f>+'Cons spec tot e finalizzati'!I31</f>
        <v>0</v>
      </c>
      <c r="E4" s="39">
        <f>+'Cons spec tot e finalizzati'!K31</f>
        <v>0</v>
      </c>
      <c r="F4" s="39">
        <f>+'Cons spec tot e finalizzati'!M31</f>
        <v>0</v>
      </c>
      <c r="G4" s="39">
        <f>+'Cons spec tot e finalizzati'!O31</f>
        <v>0</v>
      </c>
      <c r="H4" s="39">
        <f>+'Cons spec tot e finalizzati'!Q31</f>
        <v>0</v>
      </c>
      <c r="I4" s="39">
        <f>+'Cons spec tot e finalizzati'!S31</f>
        <v>0</v>
      </c>
      <c r="J4" s="39">
        <f>+'Cons spec tot e finalizzati'!U31</f>
        <v>0</v>
      </c>
      <c r="K4" s="39">
        <f>+'Cons spec tot e finalizzati'!W31</f>
        <v>0</v>
      </c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t="s">
        <v>53</v>
      </c>
      <c r="B6" s="144">
        <f>+B7</f>
        <v>100</v>
      </c>
      <c r="C6" s="144">
        <f aca="true" t="shared" si="0" ref="C6:J6">+C3/$B$3*100</f>
        <v>100</v>
      </c>
      <c r="D6" s="144">
        <f t="shared" si="0"/>
        <v>65.21739130434783</v>
      </c>
      <c r="E6" s="144">
        <f t="shared" si="0"/>
        <v>8.695652173913043</v>
      </c>
      <c r="F6" s="144">
        <f t="shared" si="0"/>
        <v>56.52173913043478</v>
      </c>
      <c r="G6" s="144">
        <f t="shared" si="0"/>
        <v>84.78260869565217</v>
      </c>
      <c r="H6" s="144">
        <f t="shared" si="0"/>
        <v>141.30434782608697</v>
      </c>
      <c r="I6" s="144">
        <f t="shared" si="0"/>
        <v>228.26086956521738</v>
      </c>
      <c r="J6" s="144">
        <f t="shared" si="0"/>
        <v>4.3478260869565215</v>
      </c>
      <c r="K6" s="144">
        <f>+K3/$B$3*100</f>
        <v>0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2.7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3" spans="2:11" ht="12.75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2.7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2.75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.75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2.7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'!D34</f>
        <v>1240</v>
      </c>
      <c r="C3" s="39">
        <f>+'Cons spec netti '!E34</f>
        <v>1008</v>
      </c>
      <c r="D3" s="39">
        <f>+'Cons spec netti '!F34</f>
        <v>1045</v>
      </c>
      <c r="E3" s="39">
        <f>+'Cons spec netti '!G34</f>
        <v>1041</v>
      </c>
      <c r="F3" s="39">
        <f>+'Cons spec netti '!H34</f>
        <v>962</v>
      </c>
      <c r="G3" s="39">
        <f>+'Cons spec netti '!I34</f>
        <v>879</v>
      </c>
      <c r="H3" s="39">
        <f>+'Cons spec netti '!J34</f>
        <v>946</v>
      </c>
      <c r="I3" s="39">
        <f>+'Cons spec netti '!K34</f>
        <v>435</v>
      </c>
      <c r="J3" s="39">
        <f>+'Cons spec netti '!L34</f>
        <v>400</v>
      </c>
      <c r="K3" s="39">
        <f>+'Cons spec netti '!M34</f>
        <v>400</v>
      </c>
    </row>
    <row r="4" spans="1:11" ht="15" customHeight="1">
      <c r="A4" s="47" t="s">
        <v>52</v>
      </c>
      <c r="B4" s="39">
        <f>+'Cons spec tot e finalizzati'!E34</f>
        <v>0</v>
      </c>
      <c r="C4" s="39">
        <f>+'Cons spec tot e finalizzati'!G34</f>
        <v>0</v>
      </c>
      <c r="D4" s="41">
        <f>+'Cons spec tot e finalizzati'!I34</f>
        <v>0</v>
      </c>
      <c r="E4" s="41">
        <f>+'Cons spec tot e finalizzati'!K34</f>
        <v>0</v>
      </c>
      <c r="F4" s="41">
        <f>+'Cons spec tot e finalizzati'!M34</f>
        <v>0</v>
      </c>
      <c r="G4" s="41">
        <f>+'Cons spec tot e finalizzati'!O34</f>
        <v>0</v>
      </c>
      <c r="H4" s="41">
        <f>+'Cons spec tot e finalizzati'!Q34</f>
        <v>0</v>
      </c>
      <c r="I4" s="41">
        <f>+'Cons spec tot e finalizzati'!S34</f>
        <v>0</v>
      </c>
      <c r="J4" s="41">
        <f>+'Cons spec tot e finalizzati'!U34</f>
        <v>100</v>
      </c>
      <c r="K4" s="41">
        <f>+'Cons spec tot e finalizzati'!W34</f>
        <v>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81.29032258064515</v>
      </c>
      <c r="D6" s="145">
        <f t="shared" si="0"/>
        <v>84.2741935483871</v>
      </c>
      <c r="E6" s="145">
        <f t="shared" si="0"/>
        <v>83.95161290322581</v>
      </c>
      <c r="F6" s="145">
        <f t="shared" si="0"/>
        <v>77.58064516129032</v>
      </c>
      <c r="G6" s="145">
        <f t="shared" si="0"/>
        <v>70.88709677419355</v>
      </c>
      <c r="H6" s="145">
        <f t="shared" si="0"/>
        <v>76.29032258064517</v>
      </c>
      <c r="I6" s="145">
        <f t="shared" si="0"/>
        <v>35.08064516129033</v>
      </c>
      <c r="J6" s="145">
        <f t="shared" si="0"/>
        <v>32.25806451612903</v>
      </c>
      <c r="K6" s="145">
        <f>+K3/$B$3*100</f>
        <v>32.25806451612903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62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'!D41</f>
        <v>89</v>
      </c>
      <c r="C3" s="39">
        <f>+'Cons spec netti '!E41</f>
        <v>116</v>
      </c>
      <c r="D3" s="39">
        <f>+'Cons spec netti '!F41</f>
        <v>80</v>
      </c>
      <c r="E3" s="39">
        <f>+'Cons spec netti '!G41</f>
        <v>107</v>
      </c>
      <c r="F3" s="39">
        <f>+'Cons spec netti '!H41</f>
        <v>58</v>
      </c>
      <c r="G3" s="39">
        <f>+'Cons spec netti '!I41</f>
        <v>46</v>
      </c>
      <c r="H3" s="39">
        <f>+'Cons spec netti '!J41</f>
        <v>54</v>
      </c>
      <c r="I3" s="39">
        <f>+'Cons spec netti '!K41</f>
        <v>33</v>
      </c>
      <c r="J3" s="39">
        <f>+'Cons spec netti '!L41</f>
        <v>33</v>
      </c>
      <c r="K3" s="39">
        <f>+'Cons spec netti '!M41</f>
        <v>43</v>
      </c>
    </row>
    <row r="4" spans="1:11" ht="15" customHeight="1">
      <c r="A4" s="47" t="s">
        <v>52</v>
      </c>
      <c r="B4" s="39">
        <f>+'Cons spec tot e finalizzati'!E41</f>
        <v>0</v>
      </c>
      <c r="C4" s="39">
        <f>+'Cons spec tot e finalizzati'!G41</f>
        <v>0</v>
      </c>
      <c r="D4" s="41">
        <f>+'Cons spec tot e finalizzati'!I41</f>
        <v>0</v>
      </c>
      <c r="E4" s="41">
        <f>+'Cons spec tot e finalizzati'!K41</f>
        <v>0</v>
      </c>
      <c r="F4" s="41">
        <f>+'Cons spec tot e finalizzati'!M41</f>
        <v>0</v>
      </c>
      <c r="G4" s="41">
        <f>+'Cons spec tot e finalizzati'!O41</f>
        <v>0</v>
      </c>
      <c r="H4" s="41">
        <f>+'Cons spec tot e finalizzati'!Q41</f>
        <v>0</v>
      </c>
      <c r="I4" s="41">
        <f>+'Cons spec tot e finalizzati'!S41</f>
        <v>0</v>
      </c>
      <c r="J4" s="41">
        <f>+'Cons spec tot e finalizzati'!U41</f>
        <v>9</v>
      </c>
      <c r="K4" s="41">
        <f>+'Cons spec tot e finalizzati'!W41</f>
        <v>30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130.3370786516854</v>
      </c>
      <c r="D6" s="145">
        <f t="shared" si="0"/>
        <v>89.8876404494382</v>
      </c>
      <c r="E6" s="145">
        <f t="shared" si="0"/>
        <v>120.2247191011236</v>
      </c>
      <c r="F6" s="145">
        <f t="shared" si="0"/>
        <v>65.1685393258427</v>
      </c>
      <c r="G6" s="145">
        <f t="shared" si="0"/>
        <v>51.68539325842697</v>
      </c>
      <c r="H6" s="145">
        <f t="shared" si="0"/>
        <v>60.67415730337079</v>
      </c>
      <c r="I6" s="145">
        <f t="shared" si="0"/>
        <v>37.07865168539326</v>
      </c>
      <c r="J6" s="145">
        <f t="shared" si="0"/>
        <v>37.07865168539326</v>
      </c>
      <c r="K6" s="145">
        <f>+K3/$B$3*100</f>
        <v>48.31460674157304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71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'!D45</f>
        <v>7879</v>
      </c>
      <c r="C3" s="39">
        <f>+'Cons spec netti '!E45</f>
        <v>9104</v>
      </c>
      <c r="D3" s="39">
        <f>+'Cons spec netti '!F45</f>
        <v>7903.412395998492</v>
      </c>
      <c r="E3" s="39">
        <f>+'Cons spec netti '!G45</f>
        <v>7893</v>
      </c>
      <c r="F3" s="39">
        <f>+'Cons spec netti '!H45</f>
        <v>8031</v>
      </c>
      <c r="G3" s="39">
        <f>+'Cons spec netti '!I45</f>
        <v>8218</v>
      </c>
      <c r="H3" s="39">
        <f>+'Cons spec netti '!J45</f>
        <v>7619</v>
      </c>
      <c r="I3" s="39">
        <f>+'Cons spec netti '!K45</f>
        <v>6189</v>
      </c>
      <c r="J3" s="39">
        <f>+'Cons spec netti '!L45</f>
        <v>6165</v>
      </c>
      <c r="K3" s="39">
        <f>+'Cons spec netti '!M45</f>
        <v>5953</v>
      </c>
    </row>
    <row r="4" spans="1:11" ht="15" customHeight="1">
      <c r="A4" s="47" t="s">
        <v>52</v>
      </c>
      <c r="B4" s="39">
        <f>+'Cons spec tot e finalizzati'!E45</f>
        <v>0</v>
      </c>
      <c r="C4" s="39">
        <f>+'Cons spec tot e finalizzati'!G45</f>
        <v>0</v>
      </c>
      <c r="D4" s="41">
        <f>+'Cons spec tot e finalizzati'!I45</f>
        <v>112.58760400150805</v>
      </c>
      <c r="E4" s="41">
        <f>+'Cons spec tot e finalizzati'!K45</f>
        <v>620</v>
      </c>
      <c r="F4" s="41">
        <f>+'Cons spec tot e finalizzati'!M45</f>
        <v>404</v>
      </c>
      <c r="G4" s="41">
        <f>+'Cons spec tot e finalizzati'!O45</f>
        <v>78</v>
      </c>
      <c r="H4" s="41">
        <f>+'Cons spec tot e finalizzati'!Q45</f>
        <v>20</v>
      </c>
      <c r="I4" s="41">
        <f>+'Cons spec tot e finalizzati'!S45</f>
        <v>0</v>
      </c>
      <c r="J4" s="41">
        <f>+'Cons spec tot e finalizzati'!U45</f>
        <v>150</v>
      </c>
      <c r="K4" s="41">
        <f>+'Cons spec tot e finalizzati'!W45</f>
        <v>192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115.54765833227567</v>
      </c>
      <c r="D6" s="145">
        <f t="shared" si="0"/>
        <v>100.30984129963818</v>
      </c>
      <c r="E6" s="145">
        <f t="shared" si="0"/>
        <v>100.17768752379743</v>
      </c>
      <c r="F6" s="145">
        <f t="shared" si="0"/>
        <v>101.92917882980072</v>
      </c>
      <c r="G6" s="145">
        <f t="shared" si="0"/>
        <v>104.30257646909507</v>
      </c>
      <c r="H6" s="145">
        <f t="shared" si="0"/>
        <v>96.7000888437619</v>
      </c>
      <c r="I6" s="145">
        <f t="shared" si="0"/>
        <v>78.55057748445235</v>
      </c>
      <c r="J6" s="145">
        <f t="shared" si="0"/>
        <v>78.2459703007996</v>
      </c>
      <c r="K6" s="145">
        <f>+K3/$B$3*100</f>
        <v>75.55527351186699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11" width="6.7109375" style="0" customWidth="1"/>
  </cols>
  <sheetData>
    <row r="1" ht="12.75">
      <c r="A1" s="160" t="s">
        <v>162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'!D49</f>
        <v>150</v>
      </c>
      <c r="C3" s="39">
        <f>+'Cons spec netti '!E49</f>
        <v>162</v>
      </c>
      <c r="D3" s="39">
        <f>+'Cons spec netti '!F49</f>
        <v>169</v>
      </c>
      <c r="E3" s="39">
        <f>+'Cons spec netti '!G49</f>
        <v>244</v>
      </c>
      <c r="F3" s="39">
        <f>+'Cons spec netti '!H49</f>
        <v>304</v>
      </c>
      <c r="G3" s="39">
        <f>+'Cons spec netti '!I49</f>
        <v>227</v>
      </c>
      <c r="H3" s="39">
        <f>+'Cons spec netti '!J49</f>
        <v>246</v>
      </c>
      <c r="I3" s="39">
        <f>+'Cons spec netti '!K49</f>
        <v>146</v>
      </c>
      <c r="J3" s="39">
        <f>+'Cons spec netti '!L49</f>
        <v>138</v>
      </c>
      <c r="K3" s="39">
        <f>+'Cons spec netti '!M49</f>
        <v>157</v>
      </c>
    </row>
    <row r="4" spans="1:11" ht="15" customHeight="1">
      <c r="A4" s="47" t="s">
        <v>52</v>
      </c>
      <c r="B4" s="39">
        <f>+'Cons spec tot e finalizzati'!E49</f>
        <v>0</v>
      </c>
      <c r="C4" s="39">
        <f>+'Cons spec tot e finalizzati'!G49</f>
        <v>0</v>
      </c>
      <c r="D4" s="39">
        <f>+'Cons spec tot e finalizzati'!I49</f>
        <v>0</v>
      </c>
      <c r="E4" s="39">
        <f>+'Cons spec tot e finalizzati'!K49</f>
        <v>0</v>
      </c>
      <c r="F4" s="39">
        <f>+'Cons spec tot e finalizzati'!M49</f>
        <v>0</v>
      </c>
      <c r="G4" s="39">
        <f>+'Cons spec tot e finalizzati'!O49</f>
        <v>0</v>
      </c>
      <c r="H4" s="39">
        <f>+'Cons spec tot e finalizzati'!Q49</f>
        <v>0</v>
      </c>
      <c r="I4" s="39">
        <f>+'Cons spec tot e finalizzati'!S49</f>
        <v>0</v>
      </c>
      <c r="J4" s="39">
        <f>+'Cons spec tot e finalizzati'!U49</f>
        <v>0</v>
      </c>
      <c r="K4" s="39">
        <f>+'Cons spec tot e finalizzati'!W49</f>
        <v>0</v>
      </c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t="s">
        <v>53</v>
      </c>
      <c r="B6" s="144">
        <v>100</v>
      </c>
      <c r="C6" s="144">
        <f aca="true" t="shared" si="0" ref="C6:J6">+C3/$B$3*100</f>
        <v>108</v>
      </c>
      <c r="D6" s="144">
        <f t="shared" si="0"/>
        <v>112.66666666666667</v>
      </c>
      <c r="E6" s="144">
        <f t="shared" si="0"/>
        <v>162.66666666666666</v>
      </c>
      <c r="F6" s="144">
        <f t="shared" si="0"/>
        <v>202.66666666666669</v>
      </c>
      <c r="G6" s="144">
        <f t="shared" si="0"/>
        <v>151.33333333333334</v>
      </c>
      <c r="H6" s="144">
        <f t="shared" si="0"/>
        <v>164</v>
      </c>
      <c r="I6" s="144">
        <f t="shared" si="0"/>
        <v>97.33333333333334</v>
      </c>
      <c r="J6" s="144">
        <f t="shared" si="0"/>
        <v>92</v>
      </c>
      <c r="K6" s="144">
        <f>+K3/$B$3*100</f>
        <v>104.66666666666666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2.7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3" spans="2:11" ht="12.75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2.7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2.75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.75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2.7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0" sqref="F30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60" t="s">
        <v>96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'!D50</f>
        <v>1417</v>
      </c>
      <c r="C3" s="39">
        <f>+'Cons spec netti '!E50</f>
        <v>1272</v>
      </c>
      <c r="D3" s="39">
        <f>+'Cons spec netti '!F50</f>
        <v>1568.769603412747</v>
      </c>
      <c r="E3" s="39">
        <f>+'Cons spec netti '!G50</f>
        <v>1060</v>
      </c>
      <c r="F3" s="39">
        <f>+'Cons spec netti '!H50</f>
        <v>863</v>
      </c>
      <c r="G3" s="39">
        <f>+'Cons spec netti '!I50</f>
        <v>724</v>
      </c>
      <c r="H3" s="39">
        <f>+'Cons spec netti '!J50</f>
        <v>728</v>
      </c>
      <c r="I3" s="39">
        <f>+'Cons spec netti '!K50</f>
        <v>413</v>
      </c>
      <c r="J3" s="39">
        <f>+'Cons spec netti '!L50</f>
        <v>451</v>
      </c>
      <c r="K3" s="39">
        <f>+'Cons spec netti '!M50</f>
        <v>491</v>
      </c>
    </row>
    <row r="4" spans="1:11" ht="15" customHeight="1">
      <c r="A4" s="47" t="s">
        <v>52</v>
      </c>
      <c r="B4" s="39">
        <f>+'Cons spec tot e finalizzati'!E50</f>
        <v>49</v>
      </c>
      <c r="C4" s="39">
        <f>+'Cons spec tot e finalizzati'!G50</f>
        <v>81</v>
      </c>
      <c r="D4" s="39">
        <f>+'Cons spec tot e finalizzati'!I50</f>
        <v>202.2303965872528</v>
      </c>
      <c r="E4" s="39">
        <f>+'Cons spec tot e finalizzati'!K50</f>
        <v>21</v>
      </c>
      <c r="F4" s="39">
        <f>+'Cons spec tot e finalizzati'!M50</f>
        <v>20</v>
      </c>
      <c r="G4" s="39">
        <f>+'Cons spec tot e finalizzati'!O50</f>
        <v>23</v>
      </c>
      <c r="H4" s="39">
        <f>+'Cons spec tot e finalizzati'!Q50</f>
        <v>52</v>
      </c>
      <c r="I4" s="39">
        <f>+'Cons spec tot e finalizzati'!S50</f>
        <v>1</v>
      </c>
      <c r="J4" s="39">
        <f>+'Cons spec tot e finalizzati'!U50</f>
        <v>9</v>
      </c>
      <c r="K4" s="39">
        <f>+'Cons spec tot e finalizzati'!W50</f>
        <v>121</v>
      </c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t="s">
        <v>53</v>
      </c>
      <c r="B6" s="144">
        <v>100</v>
      </c>
      <c r="C6" s="144">
        <f>+C3/$B$3*100</f>
        <v>89.76711362032464</v>
      </c>
      <c r="D6" s="144">
        <f aca="true" t="shared" si="0" ref="D6:J6">+D3/$B$3*100</f>
        <v>110.71062832835194</v>
      </c>
      <c r="E6" s="144">
        <f t="shared" si="0"/>
        <v>74.8059280169372</v>
      </c>
      <c r="F6" s="144">
        <f t="shared" si="0"/>
        <v>60.90331686661962</v>
      </c>
      <c r="G6" s="144">
        <f t="shared" si="0"/>
        <v>51.0938602681722</v>
      </c>
      <c r="H6" s="144">
        <f t="shared" si="0"/>
        <v>51.37614678899083</v>
      </c>
      <c r="I6" s="144">
        <f t="shared" si="0"/>
        <v>29.146083274523644</v>
      </c>
      <c r="J6" s="144">
        <f t="shared" si="0"/>
        <v>31.827805222300636</v>
      </c>
      <c r="K6" s="144">
        <f>+K3/$B$3*100</f>
        <v>34.65067043048695</v>
      </c>
    </row>
    <row r="7" spans="1:11" ht="12.75">
      <c r="A7" t="s">
        <v>49</v>
      </c>
      <c r="B7" s="40"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2.7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3" spans="2:11" ht="12.75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2.7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2.75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.75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2.7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149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'!D54</f>
        <v>46259</v>
      </c>
      <c r="C3" s="39">
        <f>+'Cons spec netti '!E54</f>
        <v>52277.5</v>
      </c>
      <c r="D3" s="39">
        <f>+'Cons spec netti '!F54</f>
        <v>52232.7546881375</v>
      </c>
      <c r="E3" s="39">
        <f>+'Cons spec netti '!G54</f>
        <v>55433</v>
      </c>
      <c r="F3" s="39">
        <f>+'Cons spec netti '!H54</f>
        <v>57119</v>
      </c>
      <c r="G3" s="39">
        <f>+'Cons spec netti '!I54</f>
        <v>58044</v>
      </c>
      <c r="H3" s="39">
        <f>+'Cons spec netti '!J54</f>
        <v>59035</v>
      </c>
      <c r="I3" s="39">
        <f>+'Cons spec netti '!K54</f>
        <v>50294</v>
      </c>
      <c r="J3" s="39">
        <f>+'Cons spec netti '!L54</f>
        <v>55584</v>
      </c>
      <c r="K3" s="39">
        <f>+'Cons spec netti '!M54</f>
        <v>53456</v>
      </c>
    </row>
    <row r="4" spans="1:11" ht="15" customHeight="1">
      <c r="A4" s="47" t="s">
        <v>52</v>
      </c>
      <c r="B4" s="39">
        <f>+'Cons spec tot e finalizzati'!E54</f>
        <v>11410</v>
      </c>
      <c r="C4" s="39">
        <f>+'Cons spec tot e finalizzati'!G54</f>
        <v>14493</v>
      </c>
      <c r="D4" s="41">
        <f>+'Cons spec tot e finalizzati'!I54</f>
        <v>12209.245311862498</v>
      </c>
      <c r="E4" s="41">
        <f>+'Cons spec tot e finalizzati'!K54</f>
        <v>15727</v>
      </c>
      <c r="F4" s="41">
        <f>+'Cons spec tot e finalizzati'!M54</f>
        <v>15473</v>
      </c>
      <c r="G4" s="41">
        <f>+'Cons spec tot e finalizzati'!O54</f>
        <v>13595</v>
      </c>
      <c r="H4" s="41">
        <f>+'Cons spec tot e finalizzati'!Q54</f>
        <v>15938</v>
      </c>
      <c r="I4" s="41">
        <f>+'Cons spec tot e finalizzati'!S54</f>
        <v>11854</v>
      </c>
      <c r="J4" s="41">
        <f>+'Cons spec tot e finalizzati'!U54</f>
        <v>18261</v>
      </c>
      <c r="K4" s="41">
        <f>+'Cons spec tot e finalizzati'!W54</f>
        <v>24326</v>
      </c>
    </row>
    <row r="5" spans="2:3" ht="12.75">
      <c r="B5" s="39"/>
      <c r="C5" s="4"/>
    </row>
    <row r="6" spans="1:11" ht="12.75">
      <c r="A6" t="s">
        <v>53</v>
      </c>
      <c r="B6" s="144">
        <v>100</v>
      </c>
      <c r="C6" s="145">
        <f>+C3/$B$3*100</f>
        <v>113.01044121143993</v>
      </c>
      <c r="D6" s="145">
        <f aca="true" t="shared" si="0" ref="D6:J6">+D3/$B$3*100</f>
        <v>112.91371341390324</v>
      </c>
      <c r="E6" s="145">
        <f t="shared" si="0"/>
        <v>119.83181651138158</v>
      </c>
      <c r="F6" s="145">
        <f t="shared" si="0"/>
        <v>123.47651267861389</v>
      </c>
      <c r="G6" s="145">
        <f t="shared" si="0"/>
        <v>125.47612356514408</v>
      </c>
      <c r="H6" s="145">
        <f t="shared" si="0"/>
        <v>127.61840939060507</v>
      </c>
      <c r="I6" s="145">
        <f t="shared" si="0"/>
        <v>108.72262694826954</v>
      </c>
      <c r="J6" s="145">
        <f t="shared" si="0"/>
        <v>120.15823947772326</v>
      </c>
      <c r="K6" s="145">
        <f>+K3/$B$3*100</f>
        <v>115.55805356795435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1"/>
  <sheetViews>
    <sheetView workbookViewId="0" topLeftCell="D1">
      <pane ySplit="8" topLeftCell="BM9" activePane="bottomLeft" state="frozen"/>
      <selection pane="topLeft" activeCell="A1" sqref="A1"/>
      <selection pane="bottomLeft" activeCell="N6" sqref="N6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4.140625" style="3" customWidth="1"/>
    <col min="4" max="7" width="11.00390625" style="59" customWidth="1"/>
    <col min="8" max="8" width="11.00390625" style="76" customWidth="1"/>
    <col min="9" max="11" width="11.00390625" style="59" customWidth="1"/>
    <col min="12" max="12" width="11.00390625" style="39" bestFit="1" customWidth="1"/>
    <col min="13" max="13" width="11.00390625" style="39" customWidth="1"/>
  </cols>
  <sheetData>
    <row r="1" spans="1:13" s="2" customFormat="1" ht="20.25">
      <c r="A1" s="46" t="s">
        <v>171</v>
      </c>
      <c r="B1" s="3"/>
      <c r="C1" s="3"/>
      <c r="D1" s="59"/>
      <c r="E1" s="59"/>
      <c r="F1" s="59"/>
      <c r="G1" s="59"/>
      <c r="H1" s="76"/>
      <c r="I1" s="59"/>
      <c r="J1" s="59"/>
      <c r="K1" s="59"/>
      <c r="L1" s="141"/>
      <c r="M1" s="141"/>
    </row>
    <row r="2" spans="1:13" s="2" customFormat="1" ht="6" customHeight="1">
      <c r="A2" s="3"/>
      <c r="B2" s="3"/>
      <c r="C2" s="3"/>
      <c r="D2" s="59"/>
      <c r="E2" s="81"/>
      <c r="F2" s="81"/>
      <c r="G2" s="81"/>
      <c r="H2" s="76"/>
      <c r="I2" s="59"/>
      <c r="J2" s="59"/>
      <c r="K2" s="59"/>
      <c r="L2" s="141"/>
      <c r="M2" s="141"/>
    </row>
    <row r="3" spans="1:13" s="2" customFormat="1" ht="15.75" hidden="1">
      <c r="A3" s="5"/>
      <c r="B3" s="5"/>
      <c r="C3" s="5"/>
      <c r="D3" s="59"/>
      <c r="E3" s="81"/>
      <c r="F3" s="83"/>
      <c r="G3" s="83"/>
      <c r="H3" s="85"/>
      <c r="I3" s="60"/>
      <c r="J3" s="60"/>
      <c r="K3" s="60"/>
      <c r="L3" s="141"/>
      <c r="M3" s="141"/>
    </row>
    <row r="4" spans="1:13" s="2" customFormat="1" ht="6" customHeight="1">
      <c r="A4" s="5"/>
      <c r="B4" s="5"/>
      <c r="C4" s="5"/>
      <c r="D4" s="59"/>
      <c r="E4" s="59"/>
      <c r="F4" s="59"/>
      <c r="G4" s="59"/>
      <c r="H4" s="76"/>
      <c r="I4" s="59"/>
      <c r="J4" s="59"/>
      <c r="K4" s="59"/>
      <c r="L4" s="141"/>
      <c r="M4" s="141"/>
    </row>
    <row r="5" spans="1:13" s="2" customFormat="1" ht="12.75">
      <c r="A5" s="48" t="s">
        <v>111</v>
      </c>
      <c r="B5" s="7"/>
      <c r="C5" s="7"/>
      <c r="D5" s="59"/>
      <c r="E5" s="59"/>
      <c r="F5" s="59"/>
      <c r="G5" s="59"/>
      <c r="H5" s="76"/>
      <c r="I5" s="59"/>
      <c r="J5" s="59"/>
      <c r="K5" s="59"/>
      <c r="L5" s="141"/>
      <c r="M5" s="141"/>
    </row>
    <row r="6" spans="1:13" s="2" customFormat="1" ht="12.75">
      <c r="A6" s="8"/>
      <c r="B6" s="12"/>
      <c r="C6" s="8"/>
      <c r="D6" s="109">
        <v>1999</v>
      </c>
      <c r="E6" s="109">
        <v>2000</v>
      </c>
      <c r="F6" s="109">
        <v>2001</v>
      </c>
      <c r="G6" s="109">
        <v>2002</v>
      </c>
      <c r="H6" s="109">
        <v>2003</v>
      </c>
      <c r="I6" s="109">
        <v>2004</v>
      </c>
      <c r="J6" s="142">
        <v>2005</v>
      </c>
      <c r="K6" s="142">
        <v>2006</v>
      </c>
      <c r="L6" s="142">
        <v>2007</v>
      </c>
      <c r="M6" s="142">
        <v>2008</v>
      </c>
    </row>
    <row r="7" spans="1:13" s="2" customFormat="1" ht="12.75">
      <c r="A7" s="8"/>
      <c r="B7" s="8"/>
      <c r="C7" s="8"/>
      <c r="D7" s="86" t="s">
        <v>51</v>
      </c>
      <c r="E7" s="86" t="s">
        <v>51</v>
      </c>
      <c r="F7" s="124" t="s">
        <v>51</v>
      </c>
      <c r="G7" s="124" t="s">
        <v>51</v>
      </c>
      <c r="H7" s="124" t="s">
        <v>51</v>
      </c>
      <c r="I7" s="124" t="s">
        <v>51</v>
      </c>
      <c r="J7" s="143" t="s">
        <v>51</v>
      </c>
      <c r="K7" s="143" t="s">
        <v>51</v>
      </c>
      <c r="L7" s="143" t="s">
        <v>51</v>
      </c>
      <c r="M7" s="143" t="s">
        <v>51</v>
      </c>
    </row>
    <row r="8" spans="1:13" s="2" customFormat="1" ht="12.75">
      <c r="A8" s="8"/>
      <c r="B8" s="8"/>
      <c r="C8" s="8"/>
      <c r="D8" s="61" t="s">
        <v>47</v>
      </c>
      <c r="E8" s="61" t="s">
        <v>47</v>
      </c>
      <c r="F8" s="61" t="s">
        <v>47</v>
      </c>
      <c r="G8" s="61" t="s">
        <v>47</v>
      </c>
      <c r="H8" s="61" t="s">
        <v>47</v>
      </c>
      <c r="I8" s="61" t="s">
        <v>47</v>
      </c>
      <c r="J8" s="61" t="s">
        <v>47</v>
      </c>
      <c r="K8" s="61" t="s">
        <v>47</v>
      </c>
      <c r="L8" s="61" t="s">
        <v>47</v>
      </c>
      <c r="M8" s="61" t="s">
        <v>47</v>
      </c>
    </row>
    <row r="9" spans="1:13" s="24" customFormat="1" ht="12.75">
      <c r="A9" s="149" t="s">
        <v>0</v>
      </c>
      <c r="B9" s="118"/>
      <c r="C9" s="118"/>
      <c r="D9" s="148">
        <f>+'Cons spec tot e finalizzati'!D9-'Cons spec tot e finalizzati'!E9</f>
        <v>2</v>
      </c>
      <c r="E9" s="148">
        <f>+'Cons spec tot e finalizzati'!F9-'Cons spec tot e finalizzati'!G9</f>
        <v>5</v>
      </c>
      <c r="F9" s="148">
        <f>+'Cons spec tot e finalizzati'!H9-'Cons spec tot e finalizzati'!I9</f>
        <v>56</v>
      </c>
      <c r="G9" s="148">
        <f>+'Cons spec tot e finalizzati'!J9-'Cons spec tot e finalizzati'!K9</f>
        <v>168</v>
      </c>
      <c r="H9" s="148">
        <f>+'Cons spec tot e finalizzati'!L9-'Cons spec tot e finalizzati'!M9</f>
        <v>199</v>
      </c>
      <c r="I9" s="148">
        <f>+'Cons spec tot e finalizzati'!N9-'Cons spec tot e finalizzati'!O9</f>
        <v>86</v>
      </c>
      <c r="J9" s="148">
        <f>+'Cons spec tot e finalizzati'!P9-'Cons spec tot e finalizzati'!Q9</f>
        <v>57</v>
      </c>
      <c r="K9" s="148">
        <f>+'Cons spec tot e finalizzati'!R9-'Cons spec tot e finalizzati'!S9</f>
        <v>208</v>
      </c>
      <c r="L9" s="148">
        <f>+'Cons spec tot e finalizzati'!T9-'Cons spec tot e finalizzati'!U9</f>
        <v>440</v>
      </c>
      <c r="M9" s="148">
        <f>+'Cons spec tot e finalizzati'!V9-'Cons spec tot e finalizzati'!W9</f>
        <v>344</v>
      </c>
    </row>
    <row r="10" spans="1:13" s="2" customFormat="1" ht="12.75">
      <c r="A10" s="116" t="s">
        <v>0</v>
      </c>
      <c r="B10" s="117"/>
      <c r="C10" s="117"/>
      <c r="D10" s="66">
        <f>+'Cons spec tot e finalizzati'!D10-'Cons spec tot e finalizzati'!E10</f>
        <v>2</v>
      </c>
      <c r="E10" s="66">
        <f>+'Cons spec tot e finalizzati'!F10-'Cons spec tot e finalizzati'!G10</f>
        <v>5</v>
      </c>
      <c r="F10" s="66">
        <f>+'Cons spec tot e finalizzati'!H10-'Cons spec tot e finalizzati'!I10</f>
        <v>56</v>
      </c>
      <c r="G10" s="66">
        <f>+'Cons spec tot e finalizzati'!J10-'Cons spec tot e finalizzati'!K10</f>
        <v>168</v>
      </c>
      <c r="H10" s="66">
        <f>+'Cons spec tot e finalizzati'!L10-'Cons spec tot e finalizzati'!M10</f>
        <v>199</v>
      </c>
      <c r="I10" s="66">
        <f>+'Cons spec tot e finalizzati'!N10-'Cons spec tot e finalizzati'!O10</f>
        <v>86</v>
      </c>
      <c r="J10" s="66">
        <f>+'Cons spec tot e finalizzati'!P10-'Cons spec tot e finalizzati'!Q10</f>
        <v>57</v>
      </c>
      <c r="K10" s="66">
        <f>+'Cons spec tot e finalizzati'!R10-'Cons spec tot e finalizzati'!S10</f>
        <v>208</v>
      </c>
      <c r="L10" s="66">
        <f>+'Cons spec tot e finalizzati'!T10-'Cons spec tot e finalizzati'!U10</f>
        <v>440</v>
      </c>
      <c r="M10" s="66">
        <f>+'Cons spec tot e finalizzati'!V10-'Cons spec tot e finalizzati'!W10</f>
        <v>344</v>
      </c>
    </row>
    <row r="11" spans="1:13" s="2" customFormat="1" ht="12.75">
      <c r="A11" s="9"/>
      <c r="B11" s="6" t="s">
        <v>168</v>
      </c>
      <c r="C11" s="20"/>
      <c r="D11" s="52">
        <f>+'Cons spec tot e finalizzati'!D11-'Cons spec tot e finalizzati'!E11</f>
        <v>2</v>
      </c>
      <c r="E11" s="52">
        <f>+'Cons spec tot e finalizzati'!F11-'Cons spec tot e finalizzati'!G11</f>
        <v>5</v>
      </c>
      <c r="F11" s="52">
        <f>+'Cons spec tot e finalizzati'!H11-'Cons spec tot e finalizzati'!I11</f>
        <v>56</v>
      </c>
      <c r="G11" s="52">
        <f>+'Cons spec tot e finalizzati'!J11-'Cons spec tot e finalizzati'!K11</f>
        <v>168</v>
      </c>
      <c r="H11" s="52">
        <f>+'Cons spec tot e finalizzati'!L11-'Cons spec tot e finalizzati'!M11</f>
        <v>199</v>
      </c>
      <c r="I11" s="52">
        <f>+'Cons spec tot e finalizzati'!N11-'Cons spec tot e finalizzati'!O11</f>
        <v>86</v>
      </c>
      <c r="J11" s="52">
        <f>+'Cons spec tot e finalizzati'!P11-'Cons spec tot e finalizzati'!Q11</f>
        <v>57</v>
      </c>
      <c r="K11" s="52">
        <f>+'Cons spec tot e finalizzati'!R11-'Cons spec tot e finalizzati'!S11</f>
        <v>208</v>
      </c>
      <c r="L11" s="52">
        <f>+'Cons spec tot e finalizzati'!T11-'Cons spec tot e finalizzati'!U11</f>
        <v>440</v>
      </c>
      <c r="M11" s="52">
        <f>+'Cons spec tot e finalizzati'!V11-'Cons spec tot e finalizzati'!W11</f>
        <v>344</v>
      </c>
    </row>
    <row r="12" spans="1:13" s="2" customFormat="1" ht="12.75">
      <c r="A12" s="153" t="s">
        <v>143</v>
      </c>
      <c r="B12" s="118"/>
      <c r="C12" s="118"/>
      <c r="D12" s="148">
        <f>+'Cons spec tot e finalizzati'!D12-'Cons spec tot e finalizzati'!E12</f>
        <v>2308</v>
      </c>
      <c r="E12" s="148">
        <f>+'Cons spec tot e finalizzati'!F12-'Cons spec tot e finalizzati'!G12</f>
        <v>2278</v>
      </c>
      <c r="F12" s="148">
        <f>+'Cons spec tot e finalizzati'!H12-'Cons spec tot e finalizzati'!I12</f>
        <v>3690</v>
      </c>
      <c r="G12" s="148">
        <f>+'Cons spec tot e finalizzati'!J12-'Cons spec tot e finalizzati'!K12</f>
        <v>3790</v>
      </c>
      <c r="H12" s="148">
        <f>+'Cons spec tot e finalizzati'!L12-'Cons spec tot e finalizzati'!M12</f>
        <v>3404</v>
      </c>
      <c r="I12" s="148">
        <f>+'Cons spec tot e finalizzati'!N12-'Cons spec tot e finalizzati'!O12</f>
        <v>3183</v>
      </c>
      <c r="J12" s="148">
        <f>+'Cons spec tot e finalizzati'!P12-'Cons spec tot e finalizzati'!Q12</f>
        <v>2843</v>
      </c>
      <c r="K12" s="148">
        <f>+'Cons spec tot e finalizzati'!R12-'Cons spec tot e finalizzati'!S12</f>
        <v>1704</v>
      </c>
      <c r="L12" s="148">
        <f>+'Cons spec tot e finalizzati'!T12-'Cons spec tot e finalizzati'!U12</f>
        <v>1980</v>
      </c>
      <c r="M12" s="148">
        <f>+'Cons spec tot e finalizzati'!V12-'Cons spec tot e finalizzati'!W12</f>
        <v>1929</v>
      </c>
    </row>
    <row r="13" spans="1:13" s="2" customFormat="1" ht="12.75">
      <c r="A13" s="147" t="s">
        <v>142</v>
      </c>
      <c r="B13" s="117"/>
      <c r="C13" s="117"/>
      <c r="D13" s="66">
        <f>+'Cons spec tot e finalizzati'!D13-'Cons spec tot e finalizzati'!E13</f>
        <v>1735</v>
      </c>
      <c r="E13" s="66">
        <f>+'Cons spec tot e finalizzati'!F13-'Cons spec tot e finalizzati'!G13</f>
        <v>1517</v>
      </c>
      <c r="F13" s="66">
        <f>+'Cons spec tot e finalizzati'!H13-'Cons spec tot e finalizzati'!I13</f>
        <v>2350</v>
      </c>
      <c r="G13" s="66">
        <f>+'Cons spec tot e finalizzati'!J13-'Cons spec tot e finalizzati'!K13</f>
        <v>2642</v>
      </c>
      <c r="H13" s="66">
        <f>+'Cons spec tot e finalizzati'!L13-'Cons spec tot e finalizzati'!M13</f>
        <v>2167</v>
      </c>
      <c r="I13" s="66">
        <f>+'Cons spec tot e finalizzati'!N13-'Cons spec tot e finalizzati'!O13</f>
        <v>1821</v>
      </c>
      <c r="J13" s="66">
        <f>+'Cons spec tot e finalizzati'!P13-'Cons spec tot e finalizzati'!Q13</f>
        <v>1445</v>
      </c>
      <c r="K13" s="66">
        <f>+'Cons spec tot e finalizzati'!R13-'Cons spec tot e finalizzati'!S13</f>
        <v>607</v>
      </c>
      <c r="L13" s="66">
        <f>+'Cons spec tot e finalizzati'!T13-'Cons spec tot e finalizzati'!U13</f>
        <v>977</v>
      </c>
      <c r="M13" s="66">
        <f>+'Cons spec tot e finalizzati'!V13-'Cons spec tot e finalizzati'!W13</f>
        <v>959</v>
      </c>
    </row>
    <row r="14" spans="1:13" s="2" customFormat="1" ht="12.75">
      <c r="A14" s="28"/>
      <c r="B14" s="22" t="s">
        <v>67</v>
      </c>
      <c r="C14" s="22"/>
      <c r="D14" s="43">
        <f>+'Cons spec tot e finalizzati'!D14-'Cons spec tot e finalizzati'!E14</f>
        <v>568</v>
      </c>
      <c r="E14" s="49">
        <f>+'Cons spec tot e finalizzati'!F14-'Cons spec tot e finalizzati'!G14</f>
        <v>504</v>
      </c>
      <c r="F14" s="43">
        <f>+'Cons spec tot e finalizzati'!H14-'Cons spec tot e finalizzati'!I14</f>
        <v>817</v>
      </c>
      <c r="G14" s="52">
        <f>+'Cons spec tot e finalizzati'!J14-'Cons spec tot e finalizzati'!K14</f>
        <v>537</v>
      </c>
      <c r="H14" s="49">
        <f>+'Cons spec tot e finalizzati'!L14-'Cons spec tot e finalizzati'!M14</f>
        <v>321</v>
      </c>
      <c r="I14" s="49">
        <f>+'Cons spec tot e finalizzati'!N14-'Cons spec tot e finalizzati'!O14</f>
        <v>186</v>
      </c>
      <c r="J14" s="49">
        <f>+'Cons spec tot e finalizzati'!P14-'Cons spec tot e finalizzati'!Q14</f>
        <v>25</v>
      </c>
      <c r="K14" s="49">
        <f>+'Cons spec tot e finalizzati'!R14-'Cons spec tot e finalizzati'!S14</f>
        <v>25</v>
      </c>
      <c r="L14" s="49">
        <f>+'Cons spec tot e finalizzati'!T14-'Cons spec tot e finalizzati'!U14</f>
        <v>19</v>
      </c>
      <c r="M14" s="49">
        <f>+'Cons spec tot e finalizzati'!V14-'Cons spec tot e finalizzati'!W14</f>
        <v>13</v>
      </c>
    </row>
    <row r="15" spans="1:13" s="2" customFormat="1" ht="12.75">
      <c r="A15" s="28"/>
      <c r="B15" s="21" t="s">
        <v>79</v>
      </c>
      <c r="C15" s="23"/>
      <c r="D15" s="43">
        <f>+'Cons spec tot e finalizzati'!D15-'Cons spec tot e finalizzati'!E15</f>
        <v>258</v>
      </c>
      <c r="E15" s="43">
        <f>+'Cons spec tot e finalizzati'!F15-'Cons spec tot e finalizzati'!G15</f>
        <v>278</v>
      </c>
      <c r="F15" s="43">
        <f>+'Cons spec tot e finalizzati'!H15-'Cons spec tot e finalizzati'!I15</f>
        <v>233</v>
      </c>
      <c r="G15" s="52">
        <f>+'Cons spec tot e finalizzati'!J15-'Cons spec tot e finalizzati'!K15</f>
        <v>231</v>
      </c>
      <c r="H15" s="49">
        <f>+'Cons spec tot e finalizzati'!L15-'Cons spec tot e finalizzati'!M15</f>
        <v>271</v>
      </c>
      <c r="I15" s="49">
        <f>+'Cons spec tot e finalizzati'!N15-'Cons spec tot e finalizzati'!O15</f>
        <v>234</v>
      </c>
      <c r="J15" s="49">
        <f>+'Cons spec tot e finalizzati'!P15-'Cons spec tot e finalizzati'!Q15</f>
        <v>225</v>
      </c>
      <c r="K15" s="49">
        <f>+'Cons spec tot e finalizzati'!R15-'Cons spec tot e finalizzati'!S15</f>
        <v>34</v>
      </c>
      <c r="L15" s="49">
        <f>+'Cons spec tot e finalizzati'!T15-'Cons spec tot e finalizzati'!U15</f>
        <v>565</v>
      </c>
      <c r="M15" s="49">
        <f>+'Cons spec tot e finalizzati'!V15-'Cons spec tot e finalizzati'!W15</f>
        <v>612</v>
      </c>
    </row>
    <row r="16" spans="1:13" s="24" customFormat="1" ht="12.75">
      <c r="A16" s="13"/>
      <c r="B16" s="10" t="s">
        <v>2</v>
      </c>
      <c r="C16" s="10"/>
      <c r="D16" s="67">
        <f>+'Cons spec tot e finalizzati'!D16-'Cons spec tot e finalizzati'!E16</f>
        <v>135</v>
      </c>
      <c r="E16" s="67">
        <f>+'Cons spec tot e finalizzati'!F16-'Cons spec tot e finalizzati'!G16</f>
        <v>211</v>
      </c>
      <c r="F16" s="67">
        <f>+'Cons spec tot e finalizzati'!H16-'Cons spec tot e finalizzati'!I16</f>
        <v>382</v>
      </c>
      <c r="G16" s="52">
        <f>+'Cons spec tot e finalizzati'!J16-'Cons spec tot e finalizzati'!K16</f>
        <v>234</v>
      </c>
      <c r="H16" s="52">
        <f>+'Cons spec tot e finalizzati'!L16-'Cons spec tot e finalizzati'!M16</f>
        <v>442</v>
      </c>
      <c r="I16" s="52">
        <f>+'Cons spec tot e finalizzati'!N16-'Cons spec tot e finalizzati'!O16</f>
        <v>481</v>
      </c>
      <c r="J16" s="52">
        <f>+'Cons spec tot e finalizzati'!P16-'Cons spec tot e finalizzati'!Q16</f>
        <v>599</v>
      </c>
      <c r="K16" s="52">
        <f>+'Cons spec tot e finalizzati'!R16-'Cons spec tot e finalizzati'!S16</f>
        <v>425</v>
      </c>
      <c r="L16" s="52">
        <f>+'Cons spec tot e finalizzati'!T16-'Cons spec tot e finalizzati'!U16</f>
        <v>79</v>
      </c>
      <c r="M16" s="52">
        <f>+'Cons spec tot e finalizzati'!V16-'Cons spec tot e finalizzati'!W16</f>
        <v>34</v>
      </c>
    </row>
    <row r="17" spans="1:13" s="24" customFormat="1" ht="12.75">
      <c r="A17" s="13"/>
      <c r="B17" s="10" t="s">
        <v>59</v>
      </c>
      <c r="C17" s="10"/>
      <c r="D17" s="67">
        <f>+'Cons spec tot e finalizzati'!D17-'Cons spec tot e finalizzati'!E17</f>
        <v>0</v>
      </c>
      <c r="E17" s="67">
        <f>+'Cons spec tot e finalizzati'!F17-'Cons spec tot e finalizzati'!G17</f>
        <v>0</v>
      </c>
      <c r="F17" s="67">
        <f>+'Cons spec tot e finalizzati'!H17-'Cons spec tot e finalizzati'!I17</f>
        <v>0</v>
      </c>
      <c r="G17" s="52">
        <f>+'Cons spec tot e finalizzati'!J17-'Cons spec tot e finalizzati'!K17</f>
        <v>214</v>
      </c>
      <c r="H17" s="52">
        <f>+'Cons spec tot e finalizzati'!L17-'Cons spec tot e finalizzati'!M17</f>
        <v>195</v>
      </c>
      <c r="I17" s="52">
        <f>+'Cons spec tot e finalizzati'!N17-'Cons spec tot e finalizzati'!O17</f>
        <v>177</v>
      </c>
      <c r="J17" s="52">
        <f>+'Cons spec tot e finalizzati'!P17-'Cons spec tot e finalizzati'!Q17</f>
        <v>0</v>
      </c>
      <c r="K17" s="52">
        <f>+'Cons spec tot e finalizzati'!R17-'Cons spec tot e finalizzati'!S17</f>
        <v>0</v>
      </c>
      <c r="L17" s="52">
        <f>+'Cons spec tot e finalizzati'!T17-'Cons spec tot e finalizzati'!U17</f>
        <v>0</v>
      </c>
      <c r="M17" s="52">
        <f>+'Cons spec tot e finalizzati'!V17-'Cons spec tot e finalizzati'!W17</f>
        <v>0</v>
      </c>
    </row>
    <row r="18" spans="1:13" s="24" customFormat="1" ht="12.75">
      <c r="A18" s="13"/>
      <c r="B18" s="10" t="s">
        <v>115</v>
      </c>
      <c r="C18" s="10"/>
      <c r="D18" s="67">
        <f>+'Cons spec tot e finalizzati'!D18-'Cons spec tot e finalizzati'!E18</f>
        <v>774</v>
      </c>
      <c r="E18" s="67">
        <f>+'Cons spec tot e finalizzati'!F18-'Cons spec tot e finalizzati'!G18</f>
        <v>524</v>
      </c>
      <c r="F18" s="67">
        <f>+'Cons spec tot e finalizzati'!H18-'Cons spec tot e finalizzati'!I18</f>
        <v>918</v>
      </c>
      <c r="G18" s="67">
        <f>+'Cons spec tot e finalizzati'!J18-'Cons spec tot e finalizzati'!K18</f>
        <v>1426</v>
      </c>
      <c r="H18" s="67">
        <f>+'Cons spec tot e finalizzati'!L18-'Cons spec tot e finalizzati'!M18</f>
        <v>938</v>
      </c>
      <c r="I18" s="67">
        <f>+'Cons spec tot e finalizzati'!N18-'Cons spec tot e finalizzati'!O18</f>
        <v>743</v>
      </c>
      <c r="J18" s="67">
        <f>+'Cons spec tot e finalizzati'!P18-'Cons spec tot e finalizzati'!Q18</f>
        <v>596</v>
      </c>
      <c r="K18" s="67">
        <f>+'Cons spec tot e finalizzati'!R18-'Cons spec tot e finalizzati'!S18</f>
        <v>123</v>
      </c>
      <c r="L18" s="67">
        <f>+'Cons spec tot e finalizzati'!T18-'Cons spec tot e finalizzati'!U18</f>
        <v>314</v>
      </c>
      <c r="M18" s="67">
        <f>+'Cons spec tot e finalizzati'!V18-'Cons spec tot e finalizzati'!W18</f>
        <v>300</v>
      </c>
    </row>
    <row r="19" spans="1:13" s="2" customFormat="1" ht="12.75">
      <c r="A19" s="114" t="s">
        <v>3</v>
      </c>
      <c r="B19" s="115"/>
      <c r="C19" s="115"/>
      <c r="D19" s="65">
        <f>+'Cons spec tot e finalizzati'!D19-'Cons spec tot e finalizzati'!E19</f>
        <v>315</v>
      </c>
      <c r="E19" s="65">
        <f>+'Cons spec tot e finalizzati'!F19-'Cons spec tot e finalizzati'!G19</f>
        <v>361</v>
      </c>
      <c r="F19" s="79">
        <f>+'Cons spec tot e finalizzati'!H19-'Cons spec tot e finalizzati'!I19</f>
        <v>339</v>
      </c>
      <c r="G19" s="79">
        <f>+'Cons spec tot e finalizzati'!J19-'Cons spec tot e finalizzati'!K19</f>
        <v>265</v>
      </c>
      <c r="H19" s="65">
        <f>+'Cons spec tot e finalizzati'!L19-'Cons spec tot e finalizzati'!M19</f>
        <v>250</v>
      </c>
      <c r="I19" s="65">
        <f>+'Cons spec tot e finalizzati'!N19-'Cons spec tot e finalizzati'!O19</f>
        <v>359</v>
      </c>
      <c r="J19" s="65">
        <f>+'Cons spec tot e finalizzati'!P19-'Cons spec tot e finalizzati'!Q19</f>
        <v>378</v>
      </c>
      <c r="K19" s="65">
        <f>+'Cons spec tot e finalizzati'!R19-'Cons spec tot e finalizzati'!S19</f>
        <v>310</v>
      </c>
      <c r="L19" s="65">
        <f>+'Cons spec tot e finalizzati'!T19-'Cons spec tot e finalizzati'!U19</f>
        <v>296</v>
      </c>
      <c r="M19" s="65">
        <f>+'Cons spec tot e finalizzati'!V19-'Cons spec tot e finalizzati'!W19</f>
        <v>263</v>
      </c>
    </row>
    <row r="20" spans="1:13" s="2" customFormat="1" ht="12.75">
      <c r="A20" s="114" t="s">
        <v>114</v>
      </c>
      <c r="B20" s="115"/>
      <c r="C20" s="115"/>
      <c r="D20" s="65">
        <f>+'Cons spec tot e finalizzati'!D20-'Cons spec tot e finalizzati'!E20</f>
        <v>258</v>
      </c>
      <c r="E20" s="65">
        <f>+'Cons spec tot e finalizzati'!F20-'Cons spec tot e finalizzati'!G20</f>
        <v>150</v>
      </c>
      <c r="F20" s="79">
        <f>+'Cons spec tot e finalizzati'!H20-'Cons spec tot e finalizzati'!I20</f>
        <v>127</v>
      </c>
      <c r="G20" s="79">
        <f>+'Cons spec tot e finalizzati'!J20-'Cons spec tot e finalizzati'!K20</f>
        <v>73</v>
      </c>
      <c r="H20" s="65">
        <f>+'Cons spec tot e finalizzati'!L20-'Cons spec tot e finalizzati'!M20</f>
        <v>71</v>
      </c>
      <c r="I20" s="65">
        <f>+'Cons spec tot e finalizzati'!N20-'Cons spec tot e finalizzati'!O20</f>
        <v>124</v>
      </c>
      <c r="J20" s="65">
        <f>+'Cons spec tot e finalizzati'!P20-'Cons spec tot e finalizzati'!Q20</f>
        <v>63</v>
      </c>
      <c r="K20" s="65">
        <f>+'Cons spec tot e finalizzati'!R20-'Cons spec tot e finalizzati'!S20</f>
        <v>90</v>
      </c>
      <c r="L20" s="65">
        <f>+'Cons spec tot e finalizzati'!T20-'Cons spec tot e finalizzati'!U20</f>
        <v>51</v>
      </c>
      <c r="M20" s="65">
        <f>+'Cons spec tot e finalizzati'!V20-'Cons spec tot e finalizzati'!W20</f>
        <v>53</v>
      </c>
    </row>
    <row r="21" spans="1:13" s="2" customFormat="1" ht="12.75">
      <c r="A21" s="114" t="s">
        <v>69</v>
      </c>
      <c r="B21" s="115"/>
      <c r="C21" s="115"/>
      <c r="D21" s="65">
        <f>+'Cons spec tot e finalizzati'!D21-'Cons spec tot e finalizzati'!E21</f>
        <v>0</v>
      </c>
      <c r="E21" s="65">
        <f>+'Cons spec tot e finalizzati'!F21-'Cons spec tot e finalizzati'!G21</f>
        <v>250</v>
      </c>
      <c r="F21" s="79">
        <f>+'Cons spec tot e finalizzati'!H21-'Cons spec tot e finalizzati'!I21</f>
        <v>874</v>
      </c>
      <c r="G21" s="79">
        <f>+'Cons spec tot e finalizzati'!J21-'Cons spec tot e finalizzati'!K21</f>
        <v>810</v>
      </c>
      <c r="H21" s="65">
        <f>+'Cons spec tot e finalizzati'!L21-'Cons spec tot e finalizzati'!M21</f>
        <v>916</v>
      </c>
      <c r="I21" s="65">
        <f>+'Cons spec tot e finalizzati'!N21-'Cons spec tot e finalizzati'!O21</f>
        <v>879</v>
      </c>
      <c r="J21" s="65">
        <f>+'Cons spec tot e finalizzati'!P21-'Cons spec tot e finalizzati'!Q21</f>
        <v>957</v>
      </c>
      <c r="K21" s="65">
        <f>+'Cons spec tot e finalizzati'!R21-'Cons spec tot e finalizzati'!S21</f>
        <v>697</v>
      </c>
      <c r="L21" s="65">
        <f>+'Cons spec tot e finalizzati'!T21-'Cons spec tot e finalizzati'!U21</f>
        <v>656</v>
      </c>
      <c r="M21" s="65">
        <f>+'Cons spec tot e finalizzati'!V21-'Cons spec tot e finalizzati'!W21</f>
        <v>654</v>
      </c>
    </row>
    <row r="22" spans="1:13" s="2" customFormat="1" ht="12.75">
      <c r="A22" s="153" t="s">
        <v>144</v>
      </c>
      <c r="B22" s="118"/>
      <c r="C22" s="118"/>
      <c r="D22" s="148">
        <f>+'Cons spec tot e finalizzati'!D22-'Cons spec tot e finalizzati'!E22</f>
        <v>11595</v>
      </c>
      <c r="E22" s="148">
        <f>+'Cons spec tot e finalizzati'!F22-'Cons spec tot e finalizzati'!G22</f>
        <v>12170</v>
      </c>
      <c r="F22" s="148">
        <f>+'Cons spec tot e finalizzati'!H22-'Cons spec tot e finalizzati'!I22</f>
        <v>11260.18199941124</v>
      </c>
      <c r="G22" s="148">
        <f>+'Cons spec tot e finalizzati'!J22-'Cons spec tot e finalizzati'!K22</f>
        <v>10811</v>
      </c>
      <c r="H22" s="148">
        <f>+'Cons spec tot e finalizzati'!L22-'Cons spec tot e finalizzati'!M22</f>
        <v>10697</v>
      </c>
      <c r="I22" s="148">
        <f>+'Cons spec tot e finalizzati'!N22-'Cons spec tot e finalizzati'!O22</f>
        <v>10498</v>
      </c>
      <c r="J22" s="148">
        <f>+'Cons spec tot e finalizzati'!P22-'Cons spec tot e finalizzati'!Q22</f>
        <v>9956</v>
      </c>
      <c r="K22" s="148">
        <f>+'Cons spec tot e finalizzati'!R22-'Cons spec tot e finalizzati'!S22</f>
        <v>7598</v>
      </c>
      <c r="L22" s="148">
        <f>+'Cons spec tot e finalizzati'!T22-'Cons spec tot e finalizzati'!U22</f>
        <v>7651</v>
      </c>
      <c r="M22" s="148">
        <f>+'Cons spec tot e finalizzati'!V22-'Cons spec tot e finalizzati'!W22</f>
        <v>7319</v>
      </c>
    </row>
    <row r="23" spans="1:13" s="2" customFormat="1" ht="12.75">
      <c r="A23" s="116" t="s">
        <v>160</v>
      </c>
      <c r="B23" s="117"/>
      <c r="C23" s="117"/>
      <c r="D23" s="150">
        <f>+'Cons spec tot e finalizzati'!D23-'Cons spec tot e finalizzati'!E23</f>
        <v>0</v>
      </c>
      <c r="E23" s="150">
        <f>+'Cons spec tot e finalizzati'!F23-'Cons spec tot e finalizzati'!G23</f>
        <v>0</v>
      </c>
      <c r="F23" s="151">
        <f>+'Cons spec tot e finalizzati'!H23-'Cons spec tot e finalizzati'!I23</f>
        <v>0</v>
      </c>
      <c r="G23" s="151">
        <f>+'Cons spec tot e finalizzati'!J23-'Cons spec tot e finalizzati'!K23</f>
        <v>0</v>
      </c>
      <c r="H23" s="150">
        <f>+'Cons spec tot e finalizzati'!L23-'Cons spec tot e finalizzati'!M23</f>
        <v>0</v>
      </c>
      <c r="I23" s="150">
        <f>+'Cons spec tot e finalizzati'!N23-'Cons spec tot e finalizzati'!O23</f>
        <v>7</v>
      </c>
      <c r="J23" s="150">
        <f>+'Cons spec tot e finalizzati'!P23-'Cons spec tot e finalizzati'!Q23</f>
        <v>6</v>
      </c>
      <c r="K23" s="150">
        <f>+'Cons spec tot e finalizzati'!R23-'Cons spec tot e finalizzati'!S23</f>
        <v>5</v>
      </c>
      <c r="L23" s="150">
        <f>+'Cons spec tot e finalizzati'!T23-'Cons spec tot e finalizzati'!U23</f>
        <v>6</v>
      </c>
      <c r="M23" s="150">
        <f>+'Cons spec tot e finalizzati'!V23-'Cons spec tot e finalizzati'!W23</f>
        <v>5</v>
      </c>
    </row>
    <row r="24" spans="1:13" s="2" customFormat="1" ht="12.75">
      <c r="A24" s="114" t="s">
        <v>68</v>
      </c>
      <c r="B24" s="115"/>
      <c r="C24" s="115"/>
      <c r="D24" s="65">
        <f>+'Cons spec tot e finalizzati'!D24-'Cons spec tot e finalizzati'!E24</f>
        <v>315</v>
      </c>
      <c r="E24" s="65">
        <f>+'Cons spec tot e finalizzati'!F24-'Cons spec tot e finalizzati'!G24</f>
        <v>227</v>
      </c>
      <c r="F24" s="79">
        <f>+'Cons spec tot e finalizzati'!H24-'Cons spec tot e finalizzati'!I24</f>
        <v>239</v>
      </c>
      <c r="G24" s="79">
        <f>+'Cons spec tot e finalizzati'!J24-'Cons spec tot e finalizzati'!K24</f>
        <v>280</v>
      </c>
      <c r="H24" s="65">
        <f>+'Cons spec tot e finalizzati'!L24-'Cons spec tot e finalizzati'!M24</f>
        <v>265</v>
      </c>
      <c r="I24" s="65">
        <f>+'Cons spec tot e finalizzati'!N24-'Cons spec tot e finalizzati'!O24</f>
        <v>215</v>
      </c>
      <c r="J24" s="65">
        <f>+'Cons spec tot e finalizzati'!P24-'Cons spec tot e finalizzati'!Q24</f>
        <v>203</v>
      </c>
      <c r="K24" s="65">
        <f>+'Cons spec tot e finalizzati'!R24-'Cons spec tot e finalizzati'!S24</f>
        <v>224</v>
      </c>
      <c r="L24" s="65">
        <f>+'Cons spec tot e finalizzati'!T24-'Cons spec tot e finalizzati'!U24</f>
        <v>298</v>
      </c>
      <c r="M24" s="65">
        <f>+'Cons spec tot e finalizzati'!V24-'Cons spec tot e finalizzati'!W24</f>
        <v>200</v>
      </c>
    </row>
    <row r="25" spans="1:13" s="2" customFormat="1" ht="12.75">
      <c r="A25" s="121" t="s">
        <v>145</v>
      </c>
      <c r="B25" s="115"/>
      <c r="C25" s="115"/>
      <c r="D25" s="66">
        <f>+'Cons spec tot e finalizzati'!D25-'Cons spec tot e finalizzati'!E25</f>
        <v>459</v>
      </c>
      <c r="E25" s="66">
        <f>+'Cons spec tot e finalizzati'!F25-'Cons spec tot e finalizzati'!G25</f>
        <v>235</v>
      </c>
      <c r="F25" s="66">
        <f>+'Cons spec tot e finalizzati'!H25-'Cons spec tot e finalizzati'!I25</f>
        <v>225</v>
      </c>
      <c r="G25" s="66">
        <f>+'Cons spec tot e finalizzati'!J25-'Cons spec tot e finalizzati'!K25</f>
        <v>182</v>
      </c>
      <c r="H25" s="66">
        <f>+'Cons spec tot e finalizzati'!L25-'Cons spec tot e finalizzati'!M25</f>
        <v>188</v>
      </c>
      <c r="I25" s="66">
        <f>+'Cons spec tot e finalizzati'!N25-'Cons spec tot e finalizzati'!O25</f>
        <v>143</v>
      </c>
      <c r="J25" s="66">
        <f>+'Cons spec tot e finalizzati'!P25-'Cons spec tot e finalizzati'!Q25</f>
        <v>89</v>
      </c>
      <c r="K25" s="66">
        <f>+'Cons spec tot e finalizzati'!R25-'Cons spec tot e finalizzati'!S25</f>
        <v>48</v>
      </c>
      <c r="L25" s="66">
        <f>+'Cons spec tot e finalizzati'!T25-'Cons spec tot e finalizzati'!U25</f>
        <v>158</v>
      </c>
      <c r="M25" s="66">
        <f>+'Cons spec tot e finalizzati'!V25-'Cons spec tot e finalizzati'!W25</f>
        <v>70</v>
      </c>
    </row>
    <row r="26" spans="1:13" s="2" customFormat="1" ht="12.75">
      <c r="A26" s="27"/>
      <c r="B26" s="22" t="s">
        <v>5</v>
      </c>
      <c r="C26" s="22"/>
      <c r="D26" s="49">
        <f>+'Cons spec tot e finalizzati'!D26-'Cons spec tot e finalizzati'!E26</f>
        <v>200</v>
      </c>
      <c r="E26" s="49">
        <f>+'Cons spec tot e finalizzati'!F26-'Cons spec tot e finalizzati'!G26</f>
        <v>79</v>
      </c>
      <c r="F26" s="49">
        <f>+'Cons spec tot e finalizzati'!H26-'Cons spec tot e finalizzati'!I26</f>
        <v>98</v>
      </c>
      <c r="G26" s="52">
        <f>+'Cons spec tot e finalizzati'!J26-'Cons spec tot e finalizzati'!K26</f>
        <v>66</v>
      </c>
      <c r="H26" s="49">
        <f>+'Cons spec tot e finalizzati'!L26-'Cons spec tot e finalizzati'!M26</f>
        <v>57</v>
      </c>
      <c r="I26" s="49">
        <f>+'Cons spec tot e finalizzati'!N26-'Cons spec tot e finalizzati'!O26</f>
        <v>60</v>
      </c>
      <c r="J26" s="49">
        <f>+'Cons spec tot e finalizzati'!P26-'Cons spec tot e finalizzati'!Q26</f>
        <v>33</v>
      </c>
      <c r="K26" s="49">
        <f>+'Cons spec tot e finalizzati'!R26-'Cons spec tot e finalizzati'!S26</f>
        <v>25</v>
      </c>
      <c r="L26" s="49">
        <f>+'Cons spec tot e finalizzati'!T26-'Cons spec tot e finalizzati'!U26</f>
        <v>137</v>
      </c>
      <c r="M26" s="49">
        <f>+'Cons spec tot e finalizzati'!V26-'Cons spec tot e finalizzati'!W26</f>
        <v>69</v>
      </c>
    </row>
    <row r="27" spans="1:13" s="2" customFormat="1" ht="12.75">
      <c r="A27" s="27"/>
      <c r="B27" s="22" t="s">
        <v>169</v>
      </c>
      <c r="C27" s="22"/>
      <c r="D27" s="49">
        <f>+'Cons spec tot e finalizzati'!D27-'Cons spec tot e finalizzati'!E27</f>
        <v>0</v>
      </c>
      <c r="E27" s="49">
        <f>+'Cons spec tot e finalizzati'!F27-'Cons spec tot e finalizzati'!G27</f>
        <v>0</v>
      </c>
      <c r="F27" s="49">
        <f>+'Cons spec tot e finalizzati'!H27-'Cons spec tot e finalizzati'!I27</f>
        <v>0</v>
      </c>
      <c r="G27" s="52">
        <f>+'Cons spec tot e finalizzati'!J27-'Cons spec tot e finalizzati'!K27</f>
        <v>0</v>
      </c>
      <c r="H27" s="49">
        <f>+'Cons spec tot e finalizzati'!L27-'Cons spec tot e finalizzati'!M27</f>
        <v>0</v>
      </c>
      <c r="I27" s="49">
        <f>+'Cons spec tot e finalizzati'!N27-'Cons spec tot e finalizzati'!O27</f>
        <v>0</v>
      </c>
      <c r="J27" s="49">
        <f>+'Cons spec tot e finalizzati'!P27-'Cons spec tot e finalizzati'!Q27</f>
        <v>0</v>
      </c>
      <c r="K27" s="49">
        <f>+'Cons spec tot e finalizzati'!R27-'Cons spec tot e finalizzati'!S27</f>
        <v>0</v>
      </c>
      <c r="L27" s="49">
        <f>+'Cons spec tot e finalizzati'!T27-'Cons spec tot e finalizzati'!U27</f>
        <v>0</v>
      </c>
      <c r="M27" s="49">
        <f>+'Cons spec tot e finalizzati'!V27-'Cons spec tot e finalizzati'!W27</f>
        <v>0</v>
      </c>
    </row>
    <row r="28" spans="1:13" s="2" customFormat="1" ht="12.75">
      <c r="A28" s="27"/>
      <c r="B28" s="23" t="s">
        <v>6</v>
      </c>
      <c r="C28" s="22"/>
      <c r="D28" s="63">
        <f>+'Cons spec tot e finalizzati'!D28-'Cons spec tot e finalizzati'!E28</f>
        <v>24</v>
      </c>
      <c r="E28" s="63">
        <f>+'Cons spec tot e finalizzati'!F28-'Cons spec tot e finalizzati'!G28</f>
        <v>23</v>
      </c>
      <c r="F28" s="63">
        <f>+'Cons spec tot e finalizzati'!H28-'Cons spec tot e finalizzati'!I28</f>
        <v>0</v>
      </c>
      <c r="G28" s="93">
        <f>+'Cons spec tot e finalizzati'!J28-'Cons spec tot e finalizzati'!K28</f>
        <v>0</v>
      </c>
      <c r="H28" s="49">
        <f>+'Cons spec tot e finalizzati'!L28-'Cons spec tot e finalizzati'!M28</f>
        <v>0</v>
      </c>
      <c r="I28" s="49">
        <f>+'Cons spec tot e finalizzati'!N28-'Cons spec tot e finalizzati'!O28</f>
        <v>0</v>
      </c>
      <c r="J28" s="49">
        <f>+'Cons spec tot e finalizzati'!P28-'Cons spec tot e finalizzati'!Q28</f>
        <v>0</v>
      </c>
      <c r="K28" s="49">
        <f>+'Cons spec tot e finalizzati'!R28-'Cons spec tot e finalizzati'!S28</f>
        <v>0</v>
      </c>
      <c r="L28" s="49">
        <f>+'Cons spec tot e finalizzati'!T28-'Cons spec tot e finalizzati'!U28</f>
        <v>0</v>
      </c>
      <c r="M28" s="49">
        <f>+'Cons spec tot e finalizzati'!V28-'Cons spec tot e finalizzati'!W28</f>
        <v>0</v>
      </c>
    </row>
    <row r="29" spans="1:13" s="2" customFormat="1" ht="12.75">
      <c r="A29" s="27"/>
      <c r="B29" s="23" t="s">
        <v>70</v>
      </c>
      <c r="C29" s="23"/>
      <c r="D29" s="63">
        <f>+'Cons spec tot e finalizzati'!D29-'Cons spec tot e finalizzati'!E29</f>
        <v>96</v>
      </c>
      <c r="E29" s="63">
        <f>+'Cons spec tot e finalizzati'!F29-'Cons spec tot e finalizzati'!G29</f>
        <v>0</v>
      </c>
      <c r="F29" s="63">
        <f>+'Cons spec tot e finalizzati'!H29-'Cons spec tot e finalizzati'!I29</f>
        <v>0</v>
      </c>
      <c r="G29" s="93">
        <f>+'Cons spec tot e finalizzati'!J29-'Cons spec tot e finalizzati'!K29</f>
        <v>0</v>
      </c>
      <c r="H29" s="63">
        <f>+'Cons spec tot e finalizzati'!L29-'Cons spec tot e finalizzati'!M29</f>
        <v>0</v>
      </c>
      <c r="I29" s="63">
        <f>+'Cons spec tot e finalizzati'!N29-'Cons spec tot e finalizzati'!O29</f>
        <v>0</v>
      </c>
      <c r="J29" s="63">
        <f>+'Cons spec tot e finalizzati'!P29-'Cons spec tot e finalizzati'!Q29</f>
        <v>0</v>
      </c>
      <c r="K29" s="63">
        <f>+'Cons spec tot e finalizzati'!R29-'Cons spec tot e finalizzati'!S29</f>
        <v>0</v>
      </c>
      <c r="L29" s="63">
        <f>+'Cons spec tot e finalizzati'!T29-'Cons spec tot e finalizzati'!U29</f>
        <v>0</v>
      </c>
      <c r="M29" s="63">
        <f>+'Cons spec tot e finalizzati'!V29-'Cons spec tot e finalizzati'!W29</f>
        <v>0</v>
      </c>
    </row>
    <row r="30" spans="1:13" s="24" customFormat="1" ht="12.75">
      <c r="A30" s="27"/>
      <c r="B30" s="22" t="s">
        <v>127</v>
      </c>
      <c r="C30" s="22"/>
      <c r="D30" s="68">
        <f>+'Cons spec tot e finalizzati'!D30-'Cons spec tot e finalizzati'!E30</f>
        <v>139</v>
      </c>
      <c r="E30" s="68">
        <f>+'Cons spec tot e finalizzati'!F30-'Cons spec tot e finalizzati'!G30</f>
        <v>133</v>
      </c>
      <c r="F30" s="68">
        <f>+'Cons spec tot e finalizzati'!H30-'Cons spec tot e finalizzati'!I30</f>
        <v>127</v>
      </c>
      <c r="G30" s="68">
        <f>+'Cons spec tot e finalizzati'!J30-'Cons spec tot e finalizzati'!K30</f>
        <v>116</v>
      </c>
      <c r="H30" s="68">
        <f>+'Cons spec tot e finalizzati'!L30-'Cons spec tot e finalizzati'!M30</f>
        <v>131</v>
      </c>
      <c r="I30" s="68">
        <f>+'Cons spec tot e finalizzati'!N30-'Cons spec tot e finalizzati'!O30</f>
        <v>83</v>
      </c>
      <c r="J30" s="68">
        <f>+'Cons spec tot e finalizzati'!P30-'Cons spec tot e finalizzati'!Q30</f>
        <v>56</v>
      </c>
      <c r="K30" s="68">
        <f>+'Cons spec tot e finalizzati'!R30-'Cons spec tot e finalizzati'!S30</f>
        <v>23</v>
      </c>
      <c r="L30" s="68">
        <f>+'Cons spec tot e finalizzati'!T30-'Cons spec tot e finalizzati'!U30</f>
        <v>21</v>
      </c>
      <c r="M30" s="68">
        <f>+'Cons spec tot e finalizzati'!V30-'Cons spec tot e finalizzati'!W30</f>
        <v>1</v>
      </c>
    </row>
    <row r="31" spans="1:13" s="2" customFormat="1" ht="12.75">
      <c r="A31" s="121" t="s">
        <v>147</v>
      </c>
      <c r="B31" s="115"/>
      <c r="C31" s="115"/>
      <c r="D31" s="66">
        <f>+'Cons spec tot e finalizzati'!D31-'Cons spec tot e finalizzati'!E31</f>
        <v>46</v>
      </c>
      <c r="E31" s="66">
        <f>+'Cons spec tot e finalizzati'!F31-'Cons spec tot e finalizzati'!G31</f>
        <v>46</v>
      </c>
      <c r="F31" s="66">
        <f>+'Cons spec tot e finalizzati'!H31-'Cons spec tot e finalizzati'!I31</f>
        <v>30</v>
      </c>
      <c r="G31" s="66">
        <f>+'Cons spec tot e finalizzati'!J31-'Cons spec tot e finalizzati'!K31</f>
        <v>4</v>
      </c>
      <c r="H31" s="66">
        <f>+'Cons spec tot e finalizzati'!L31-'Cons spec tot e finalizzati'!M31</f>
        <v>26</v>
      </c>
      <c r="I31" s="66">
        <f>+'Cons spec tot e finalizzati'!N31-'Cons spec tot e finalizzati'!O31</f>
        <v>39</v>
      </c>
      <c r="J31" s="66">
        <f>+'Cons spec tot e finalizzati'!P31-'Cons spec tot e finalizzati'!Q31</f>
        <v>65</v>
      </c>
      <c r="K31" s="66">
        <f>+'Cons spec tot e finalizzati'!R31-'Cons spec tot e finalizzati'!S31</f>
        <v>105</v>
      </c>
      <c r="L31" s="66">
        <f>+'Cons spec tot e finalizzati'!T31-'Cons spec tot e finalizzati'!U31</f>
        <v>2</v>
      </c>
      <c r="M31" s="66">
        <f>+'Cons spec tot e finalizzati'!V31-'Cons spec tot e finalizzati'!W31</f>
        <v>0</v>
      </c>
    </row>
    <row r="32" spans="1:13" s="2" customFormat="1" ht="12.75">
      <c r="A32" s="25"/>
      <c r="B32" s="22" t="s">
        <v>7</v>
      </c>
      <c r="C32" s="26"/>
      <c r="D32" s="49">
        <f>+'Cons spec tot e finalizzati'!D32-'Cons spec tot e finalizzati'!E32</f>
        <v>46</v>
      </c>
      <c r="E32" s="49">
        <f>+'Cons spec tot e finalizzati'!F32-'Cons spec tot e finalizzati'!G32</f>
        <v>46</v>
      </c>
      <c r="F32" s="49">
        <f>+'Cons spec tot e finalizzati'!H32-'Cons spec tot e finalizzati'!I32</f>
        <v>30</v>
      </c>
      <c r="G32" s="52">
        <f>+'Cons spec tot e finalizzati'!J32-'Cons spec tot e finalizzati'!K32</f>
        <v>4</v>
      </c>
      <c r="H32" s="49">
        <f>+'Cons spec tot e finalizzati'!L32-'Cons spec tot e finalizzati'!M32</f>
        <v>20</v>
      </c>
      <c r="I32" s="49">
        <f>+'Cons spec tot e finalizzati'!N32-'Cons spec tot e finalizzati'!O32</f>
        <v>0</v>
      </c>
      <c r="J32" s="49">
        <f>+'Cons spec tot e finalizzati'!P32-'Cons spec tot e finalizzati'!Q32</f>
        <v>0</v>
      </c>
      <c r="K32" s="49">
        <f>+'Cons spec tot e finalizzati'!R32-'Cons spec tot e finalizzati'!S32</f>
        <v>0</v>
      </c>
      <c r="L32" s="49">
        <f>+'Cons spec tot e finalizzati'!T32-'Cons spec tot e finalizzati'!U32</f>
        <v>0</v>
      </c>
      <c r="M32" s="49">
        <f>+'Cons spec tot e finalizzati'!V32-'Cons spec tot e finalizzati'!W32</f>
        <v>0</v>
      </c>
    </row>
    <row r="33" spans="1:13" s="24" customFormat="1" ht="12.75">
      <c r="A33" s="14"/>
      <c r="B33" s="10" t="s">
        <v>8</v>
      </c>
      <c r="C33" s="11"/>
      <c r="D33" s="68">
        <f>+'Cons spec tot e finalizzati'!D33-'Cons spec tot e finalizzati'!E33</f>
        <v>0</v>
      </c>
      <c r="E33" s="68">
        <f>+'Cons spec tot e finalizzati'!F33-'Cons spec tot e finalizzati'!G33</f>
        <v>0</v>
      </c>
      <c r="F33" s="68">
        <f>+'Cons spec tot e finalizzati'!H33-'Cons spec tot e finalizzati'!I33</f>
        <v>0</v>
      </c>
      <c r="G33" s="68">
        <f>+'Cons spec tot e finalizzati'!J33-'Cons spec tot e finalizzati'!K33</f>
        <v>0</v>
      </c>
      <c r="H33" s="68">
        <f>+'Cons spec tot e finalizzati'!L33-'Cons spec tot e finalizzati'!M33</f>
        <v>6</v>
      </c>
      <c r="I33" s="68">
        <f>+'Cons spec tot e finalizzati'!N33-'Cons spec tot e finalizzati'!O33</f>
        <v>39</v>
      </c>
      <c r="J33" s="68">
        <f>+'Cons spec tot e finalizzati'!P33-'Cons spec tot e finalizzati'!Q33</f>
        <v>65</v>
      </c>
      <c r="K33" s="68">
        <f>+'Cons spec tot e finalizzati'!R33-'Cons spec tot e finalizzati'!S33</f>
        <v>105</v>
      </c>
      <c r="L33" s="68">
        <f>+'Cons spec tot e finalizzati'!T33-'Cons spec tot e finalizzati'!U33</f>
        <v>2</v>
      </c>
      <c r="M33" s="68">
        <f>+'Cons spec tot e finalizzati'!V33-'Cons spec tot e finalizzati'!W33</f>
        <v>0</v>
      </c>
    </row>
    <row r="34" spans="1:13" s="2" customFormat="1" ht="12.75">
      <c r="A34" s="114" t="s">
        <v>14</v>
      </c>
      <c r="B34" s="115"/>
      <c r="C34" s="115"/>
      <c r="D34" s="66">
        <f>+'Cons spec tot e finalizzati'!D34-'Cons spec tot e finalizzati'!E34</f>
        <v>1240</v>
      </c>
      <c r="E34" s="66">
        <f>+'Cons spec tot e finalizzati'!F34-'Cons spec tot e finalizzati'!G34</f>
        <v>1008</v>
      </c>
      <c r="F34" s="66">
        <f>+'Cons spec tot e finalizzati'!H34-'Cons spec tot e finalizzati'!I34</f>
        <v>1045</v>
      </c>
      <c r="G34" s="66">
        <f>+'Cons spec tot e finalizzati'!J34-'Cons spec tot e finalizzati'!K34</f>
        <v>1041</v>
      </c>
      <c r="H34" s="66">
        <f>+'Cons spec tot e finalizzati'!L34-'Cons spec tot e finalizzati'!M34</f>
        <v>962</v>
      </c>
      <c r="I34" s="66">
        <f>+'Cons spec tot e finalizzati'!N34-'Cons spec tot e finalizzati'!O34</f>
        <v>879</v>
      </c>
      <c r="J34" s="66">
        <f>+'Cons spec tot e finalizzati'!P34-'Cons spec tot e finalizzati'!Q34</f>
        <v>946</v>
      </c>
      <c r="K34" s="66">
        <f>+'Cons spec tot e finalizzati'!R34-'Cons spec tot e finalizzati'!S34</f>
        <v>435</v>
      </c>
      <c r="L34" s="66">
        <f>+'Cons spec tot e finalizzati'!T34-'Cons spec tot e finalizzati'!U34</f>
        <v>400</v>
      </c>
      <c r="M34" s="66">
        <f>+'Cons spec tot e finalizzati'!V34-'Cons spec tot e finalizzati'!W34</f>
        <v>400</v>
      </c>
    </row>
    <row r="35" spans="1:13" s="2" customFormat="1" ht="12.75">
      <c r="A35" s="27"/>
      <c r="B35" s="22" t="s">
        <v>5</v>
      </c>
      <c r="C35" s="22"/>
      <c r="D35" s="49">
        <f>+'Cons spec tot e finalizzati'!D35-'Cons spec tot e finalizzati'!E35</f>
        <v>445</v>
      </c>
      <c r="E35" s="49">
        <f>+'Cons spec tot e finalizzati'!F35-'Cons spec tot e finalizzati'!G35</f>
        <v>266</v>
      </c>
      <c r="F35" s="49">
        <f>+'Cons spec tot e finalizzati'!H35-'Cons spec tot e finalizzati'!I35</f>
        <v>224</v>
      </c>
      <c r="G35" s="52">
        <f>+'Cons spec tot e finalizzati'!J35-'Cons spec tot e finalizzati'!K35</f>
        <v>315</v>
      </c>
      <c r="H35" s="49">
        <f>+'Cons spec tot e finalizzati'!L35-'Cons spec tot e finalizzati'!M35</f>
        <v>419</v>
      </c>
      <c r="I35" s="49">
        <f>+'Cons spec tot e finalizzati'!N35-'Cons spec tot e finalizzati'!O35</f>
        <v>101</v>
      </c>
      <c r="J35" s="49">
        <f>+'Cons spec tot e finalizzati'!P35-'Cons spec tot e finalizzati'!Q35</f>
        <v>368</v>
      </c>
      <c r="K35" s="49">
        <f>+'Cons spec tot e finalizzati'!R35-'Cons spec tot e finalizzati'!S35</f>
        <v>51</v>
      </c>
      <c r="L35" s="49">
        <f>+'Cons spec tot e finalizzati'!T35-'Cons spec tot e finalizzati'!U35</f>
        <v>56</v>
      </c>
      <c r="M35" s="49">
        <f>+'Cons spec tot e finalizzati'!V35-'Cons spec tot e finalizzati'!W35</f>
        <v>55</v>
      </c>
    </row>
    <row r="36" spans="1:13" s="2" customFormat="1" ht="12.75">
      <c r="A36" s="27"/>
      <c r="B36" s="22" t="s">
        <v>15</v>
      </c>
      <c r="C36" s="22"/>
      <c r="D36" s="49">
        <f>+'Cons spec tot e finalizzati'!D36-'Cons spec tot e finalizzati'!E36</f>
        <v>5</v>
      </c>
      <c r="E36" s="49">
        <f>+'Cons spec tot e finalizzati'!F36-'Cons spec tot e finalizzati'!G36</f>
        <v>10</v>
      </c>
      <c r="F36" s="49">
        <f>+'Cons spec tot e finalizzati'!H36-'Cons spec tot e finalizzati'!I36</f>
        <v>23</v>
      </c>
      <c r="G36" s="52">
        <f>+'Cons spec tot e finalizzati'!J36-'Cons spec tot e finalizzati'!K36</f>
        <v>145</v>
      </c>
      <c r="H36" s="49">
        <f>+'Cons spec tot e finalizzati'!L36-'Cons spec tot e finalizzati'!M36</f>
        <v>130</v>
      </c>
      <c r="I36" s="49">
        <f>+'Cons spec tot e finalizzati'!N36-'Cons spec tot e finalizzati'!O36</f>
        <v>165</v>
      </c>
      <c r="J36" s="49">
        <f>+'Cons spec tot e finalizzati'!P36-'Cons spec tot e finalizzati'!Q36</f>
        <v>109</v>
      </c>
      <c r="K36" s="49">
        <f>+'Cons spec tot e finalizzati'!R36-'Cons spec tot e finalizzati'!S36</f>
        <v>37</v>
      </c>
      <c r="L36" s="49">
        <f>+'Cons spec tot e finalizzati'!T36-'Cons spec tot e finalizzati'!U36</f>
        <v>0</v>
      </c>
      <c r="M36" s="49">
        <f>+'Cons spec tot e finalizzati'!V36-'Cons spec tot e finalizzati'!W36</f>
        <v>0</v>
      </c>
    </row>
    <row r="37" spans="1:13" s="2" customFormat="1" ht="12.75">
      <c r="A37" s="27"/>
      <c r="B37" s="22" t="s">
        <v>179</v>
      </c>
      <c r="C37" s="22"/>
      <c r="D37" s="49">
        <f>+'Cons spec tot e finalizzati'!D37-'Cons spec tot e finalizzati'!E37</f>
        <v>60</v>
      </c>
      <c r="E37" s="49">
        <f>+'Cons spec tot e finalizzati'!F37-'Cons spec tot e finalizzati'!G37</f>
        <v>41</v>
      </c>
      <c r="F37" s="49">
        <f>+'Cons spec tot e finalizzati'!H37-'Cons spec tot e finalizzati'!I37</f>
        <v>0</v>
      </c>
      <c r="G37" s="52">
        <f>+'Cons spec tot e finalizzati'!J37-'Cons spec tot e finalizzati'!K37</f>
        <v>0</v>
      </c>
      <c r="H37" s="49">
        <f>+'Cons spec tot e finalizzati'!L37-'Cons spec tot e finalizzati'!M37</f>
        <v>0</v>
      </c>
      <c r="I37" s="49">
        <f>+'Cons spec tot e finalizzati'!N37-'Cons spec tot e finalizzati'!O37</f>
        <v>0</v>
      </c>
      <c r="J37" s="49">
        <f>+'Cons spec tot e finalizzati'!P37-'Cons spec tot e finalizzati'!Q37</f>
        <v>12</v>
      </c>
      <c r="K37" s="49">
        <f>+'Cons spec tot e finalizzati'!R37-'Cons spec tot e finalizzati'!S37</f>
        <v>13</v>
      </c>
      <c r="L37" s="49">
        <f>+'Cons spec tot e finalizzati'!T37-'Cons spec tot e finalizzati'!U37</f>
        <v>0</v>
      </c>
      <c r="M37" s="49">
        <f>+'Cons spec tot e finalizzati'!V37-'Cons spec tot e finalizzati'!W37</f>
        <v>0</v>
      </c>
    </row>
    <row r="38" spans="1:13" s="2" customFormat="1" ht="12.75">
      <c r="A38" s="27"/>
      <c r="B38" s="22" t="s">
        <v>126</v>
      </c>
      <c r="C38" s="22"/>
      <c r="D38" s="49">
        <f>+'Cons spec tot e finalizzati'!D38-'Cons spec tot e finalizzati'!E38</f>
        <v>336</v>
      </c>
      <c r="E38" s="49">
        <f>+'Cons spec tot e finalizzati'!F38-'Cons spec tot e finalizzati'!G38</f>
        <v>367</v>
      </c>
      <c r="F38" s="49">
        <f>+'Cons spec tot e finalizzati'!H38-'Cons spec tot e finalizzati'!I38</f>
        <v>506</v>
      </c>
      <c r="G38" s="52">
        <f>+'Cons spec tot e finalizzati'!J38-'Cons spec tot e finalizzati'!K38</f>
        <v>478</v>
      </c>
      <c r="H38" s="49">
        <f>+'Cons spec tot e finalizzati'!L38-'Cons spec tot e finalizzati'!M38</f>
        <v>400</v>
      </c>
      <c r="I38" s="49">
        <f>+'Cons spec tot e finalizzati'!N38-'Cons spec tot e finalizzati'!O38</f>
        <v>394</v>
      </c>
      <c r="J38" s="49">
        <f>+'Cons spec tot e finalizzati'!P38-'Cons spec tot e finalizzati'!Q38</f>
        <v>258</v>
      </c>
      <c r="K38" s="49">
        <f>+'Cons spec tot e finalizzati'!R38-'Cons spec tot e finalizzati'!S38</f>
        <v>182</v>
      </c>
      <c r="L38" s="49">
        <f>+'Cons spec tot e finalizzati'!T38-'Cons spec tot e finalizzati'!U38</f>
        <v>191</v>
      </c>
      <c r="M38" s="49">
        <f>+'Cons spec tot e finalizzati'!V38-'Cons spec tot e finalizzati'!W38</f>
        <v>165</v>
      </c>
    </row>
    <row r="39" spans="1:13" s="2" customFormat="1" ht="12.75">
      <c r="A39" s="27"/>
      <c r="B39" s="22" t="s">
        <v>180</v>
      </c>
      <c r="C39" s="22"/>
      <c r="D39" s="49">
        <f>+'Cons spec tot e finalizzati'!D39-'Cons spec tot e finalizzati'!E39</f>
        <v>270</v>
      </c>
      <c r="E39" s="49">
        <f>+'Cons spec tot e finalizzati'!F39-'Cons spec tot e finalizzati'!G39</f>
        <v>252</v>
      </c>
      <c r="F39" s="49">
        <f>+'Cons spec tot e finalizzati'!H39-'Cons spec tot e finalizzati'!I39</f>
        <v>241</v>
      </c>
      <c r="G39" s="52">
        <f>+'Cons spec tot e finalizzati'!J39-'Cons spec tot e finalizzati'!K39</f>
        <v>42</v>
      </c>
      <c r="H39" s="49">
        <f>+'Cons spec tot e finalizzati'!L39-'Cons spec tot e finalizzati'!M39</f>
        <v>13</v>
      </c>
      <c r="I39" s="49">
        <f>+'Cons spec tot e finalizzati'!N39-'Cons spec tot e finalizzati'!O39</f>
        <v>219</v>
      </c>
      <c r="J39" s="49">
        <f>+'Cons spec tot e finalizzati'!P39-'Cons spec tot e finalizzati'!Q39</f>
        <v>199</v>
      </c>
      <c r="K39" s="49">
        <f>+'Cons spec tot e finalizzati'!R39-'Cons spec tot e finalizzati'!S39</f>
        <v>152</v>
      </c>
      <c r="L39" s="49">
        <f>+'Cons spec tot e finalizzati'!T39-'Cons spec tot e finalizzati'!U39</f>
        <v>153</v>
      </c>
      <c r="M39" s="49">
        <f>+'Cons spec tot e finalizzati'!V39-'Cons spec tot e finalizzati'!W39</f>
        <v>180</v>
      </c>
    </row>
    <row r="40" spans="1:13" s="2" customFormat="1" ht="12.75">
      <c r="A40" s="113"/>
      <c r="B40" s="54" t="s">
        <v>61</v>
      </c>
      <c r="C40" s="54"/>
      <c r="D40" s="97">
        <f>+'Cons spec tot e finalizzati'!D40-'Cons spec tot e finalizzati'!E40</f>
        <v>124</v>
      </c>
      <c r="E40" s="55">
        <f>+'Cons spec tot e finalizzati'!F40-'Cons spec tot e finalizzati'!G40</f>
        <v>72</v>
      </c>
      <c r="F40" s="97">
        <f>+'Cons spec tot e finalizzati'!H40-'Cons spec tot e finalizzati'!I40</f>
        <v>51</v>
      </c>
      <c r="G40" s="99">
        <f>+'Cons spec tot e finalizzati'!J40-'Cons spec tot e finalizzati'!K40</f>
        <v>61</v>
      </c>
      <c r="H40" s="97">
        <f>+'Cons spec tot e finalizzati'!L40-'Cons spec tot e finalizzati'!M40</f>
        <v>0</v>
      </c>
      <c r="I40" s="97">
        <f>+'Cons spec tot e finalizzati'!N40-'Cons spec tot e finalizzati'!O40</f>
        <v>0</v>
      </c>
      <c r="J40" s="97">
        <f>+'Cons spec tot e finalizzati'!P40-'Cons spec tot e finalizzati'!Q40</f>
        <v>0</v>
      </c>
      <c r="K40" s="97">
        <f>+'Cons spec tot e finalizzati'!R40-'Cons spec tot e finalizzati'!S40</f>
        <v>0</v>
      </c>
      <c r="L40" s="97">
        <f>+'Cons spec tot e finalizzati'!T40-'Cons spec tot e finalizzati'!U40</f>
        <v>0</v>
      </c>
      <c r="M40" s="97">
        <f>+'Cons spec tot e finalizzati'!V40-'Cons spec tot e finalizzati'!W40</f>
        <v>0</v>
      </c>
    </row>
    <row r="41" spans="1:13" s="2" customFormat="1" ht="12.75">
      <c r="A41" s="114" t="s">
        <v>62</v>
      </c>
      <c r="B41" s="115"/>
      <c r="C41" s="115"/>
      <c r="D41" s="66">
        <f>+'Cons spec tot e finalizzati'!D41-'Cons spec tot e finalizzati'!E41</f>
        <v>89</v>
      </c>
      <c r="E41" s="66">
        <f>+'Cons spec tot e finalizzati'!F41-'Cons spec tot e finalizzati'!G41</f>
        <v>116</v>
      </c>
      <c r="F41" s="66">
        <f>+'Cons spec tot e finalizzati'!H41-'Cons spec tot e finalizzati'!I41</f>
        <v>80</v>
      </c>
      <c r="G41" s="66">
        <f>+'Cons spec tot e finalizzati'!J41-'Cons spec tot e finalizzati'!K41</f>
        <v>107</v>
      </c>
      <c r="H41" s="66">
        <f>+'Cons spec tot e finalizzati'!L41-'Cons spec tot e finalizzati'!M41</f>
        <v>58</v>
      </c>
      <c r="I41" s="66">
        <f>+'Cons spec tot e finalizzati'!N41-'Cons spec tot e finalizzati'!O41</f>
        <v>46</v>
      </c>
      <c r="J41" s="66">
        <f>+'Cons spec tot e finalizzati'!P41-'Cons spec tot e finalizzati'!Q41</f>
        <v>54</v>
      </c>
      <c r="K41" s="66">
        <f>+'Cons spec tot e finalizzati'!R41-'Cons spec tot e finalizzati'!S41</f>
        <v>33</v>
      </c>
      <c r="L41" s="66">
        <f>+'Cons spec tot e finalizzati'!T41-'Cons spec tot e finalizzati'!U41</f>
        <v>33</v>
      </c>
      <c r="M41" s="66">
        <f>+'Cons spec tot e finalizzati'!V41-'Cons spec tot e finalizzati'!W41</f>
        <v>43</v>
      </c>
    </row>
    <row r="42" spans="1:13" s="2" customFormat="1" ht="12.75">
      <c r="A42" s="9"/>
      <c r="B42" s="10" t="s">
        <v>5</v>
      </c>
      <c r="C42" s="11"/>
      <c r="D42" s="43">
        <f>+'Cons spec tot e finalizzati'!D42-'Cons spec tot e finalizzati'!E42</f>
        <v>89</v>
      </c>
      <c r="E42" s="43">
        <f>+'Cons spec tot e finalizzati'!F42-'Cons spec tot e finalizzati'!G42</f>
        <v>116</v>
      </c>
      <c r="F42" s="43">
        <f>+'Cons spec tot e finalizzati'!H42-'Cons spec tot e finalizzati'!I42</f>
        <v>80</v>
      </c>
      <c r="G42" s="52">
        <f>+'Cons spec tot e finalizzati'!J42-'Cons spec tot e finalizzati'!K42</f>
        <v>107</v>
      </c>
      <c r="H42" s="43">
        <f>+'Cons spec tot e finalizzati'!L42-'Cons spec tot e finalizzati'!M42</f>
        <v>58</v>
      </c>
      <c r="I42" s="43">
        <f>+'Cons spec tot e finalizzati'!N42-'Cons spec tot e finalizzati'!O42</f>
        <v>37</v>
      </c>
      <c r="J42" s="43">
        <f>+'Cons spec tot e finalizzati'!P42-'Cons spec tot e finalizzati'!Q42</f>
        <v>45</v>
      </c>
      <c r="K42" s="43">
        <f>+'Cons spec tot e finalizzati'!R42-'Cons spec tot e finalizzati'!S42</f>
        <v>32</v>
      </c>
      <c r="L42" s="43">
        <f>+'Cons spec tot e finalizzati'!T42-'Cons spec tot e finalizzati'!U42</f>
        <v>33</v>
      </c>
      <c r="M42" s="43">
        <f>+'Cons spec tot e finalizzati'!V42-'Cons spec tot e finalizzati'!W42</f>
        <v>43</v>
      </c>
    </row>
    <row r="43" spans="1:13" s="2" customFormat="1" ht="12.75">
      <c r="A43" s="9"/>
      <c r="B43" s="10" t="s">
        <v>84</v>
      </c>
      <c r="C43" s="11"/>
      <c r="D43" s="43">
        <f>+'Cons spec tot e finalizzati'!D43-'Cons spec tot e finalizzati'!E43</f>
        <v>0</v>
      </c>
      <c r="E43" s="43">
        <f>+'Cons spec tot e finalizzati'!F43-'Cons spec tot e finalizzati'!G43</f>
        <v>0</v>
      </c>
      <c r="F43" s="43">
        <f>+'Cons spec tot e finalizzati'!H43-'Cons spec tot e finalizzati'!I43</f>
        <v>0</v>
      </c>
      <c r="G43" s="52">
        <f>+'Cons spec tot e finalizzati'!J43-'Cons spec tot e finalizzati'!K43</f>
        <v>0</v>
      </c>
      <c r="H43" s="43">
        <f>+'Cons spec tot e finalizzati'!L43-'Cons spec tot e finalizzati'!M43</f>
        <v>0</v>
      </c>
      <c r="I43" s="43">
        <f>+'Cons spec tot e finalizzati'!N43-'Cons spec tot e finalizzati'!O43</f>
        <v>7</v>
      </c>
      <c r="J43" s="43">
        <f>+'Cons spec tot e finalizzati'!P43-'Cons spec tot e finalizzati'!Q43</f>
        <v>2</v>
      </c>
      <c r="K43" s="43">
        <f>+'Cons spec tot e finalizzati'!R43-'Cons spec tot e finalizzati'!S43</f>
        <v>0</v>
      </c>
      <c r="L43" s="43">
        <f>+'Cons spec tot e finalizzati'!T43-'Cons spec tot e finalizzati'!U43</f>
        <v>0</v>
      </c>
      <c r="M43" s="43">
        <f>+'Cons spec tot e finalizzati'!V43-'Cons spec tot e finalizzati'!W43</f>
        <v>0</v>
      </c>
    </row>
    <row r="44" spans="1:13" s="24" customFormat="1" ht="12.75">
      <c r="A44" s="18"/>
      <c r="B44" s="17" t="s">
        <v>54</v>
      </c>
      <c r="C44" s="15"/>
      <c r="D44" s="68">
        <f>+'Cons spec tot e finalizzati'!D44-'Cons spec tot e finalizzati'!E44</f>
        <v>0</v>
      </c>
      <c r="E44" s="68">
        <f>+'Cons spec tot e finalizzati'!F44-'Cons spec tot e finalizzati'!G44</f>
        <v>0</v>
      </c>
      <c r="F44" s="68">
        <f>+'Cons spec tot e finalizzati'!H44-'Cons spec tot e finalizzati'!I44</f>
        <v>0</v>
      </c>
      <c r="G44" s="68">
        <f>+'Cons spec tot e finalizzati'!J44-'Cons spec tot e finalizzati'!K44</f>
        <v>0</v>
      </c>
      <c r="H44" s="68">
        <f>+'Cons spec tot e finalizzati'!L44-'Cons spec tot e finalizzati'!M44</f>
        <v>0</v>
      </c>
      <c r="I44" s="68">
        <f>+'Cons spec tot e finalizzati'!N44-'Cons spec tot e finalizzati'!O44</f>
        <v>2</v>
      </c>
      <c r="J44" s="68">
        <f>+'Cons spec tot e finalizzati'!P44-'Cons spec tot e finalizzati'!Q44</f>
        <v>7</v>
      </c>
      <c r="K44" s="68">
        <f>+'Cons spec tot e finalizzati'!R44-'Cons spec tot e finalizzati'!S44</f>
        <v>1</v>
      </c>
      <c r="L44" s="68">
        <f>+'Cons spec tot e finalizzati'!T44-'Cons spec tot e finalizzati'!U44</f>
        <v>0</v>
      </c>
      <c r="M44" s="68">
        <f>+'Cons spec tot e finalizzati'!V44-'Cons spec tot e finalizzati'!W44</f>
        <v>0</v>
      </c>
    </row>
    <row r="45" spans="1:13" s="2" customFormat="1" ht="12.75">
      <c r="A45" s="114" t="s">
        <v>71</v>
      </c>
      <c r="B45" s="115"/>
      <c r="C45" s="115"/>
      <c r="D45" s="66">
        <f>+'Cons spec tot e finalizzati'!D45-'Cons spec tot e finalizzati'!E45</f>
        <v>7879</v>
      </c>
      <c r="E45" s="66">
        <f>+'Cons spec tot e finalizzati'!F45-'Cons spec tot e finalizzati'!G45</f>
        <v>9104</v>
      </c>
      <c r="F45" s="66">
        <f>+'Cons spec tot e finalizzati'!H45-'Cons spec tot e finalizzati'!I45</f>
        <v>7903.412395998492</v>
      </c>
      <c r="G45" s="66">
        <f>+'Cons spec tot e finalizzati'!J45-'Cons spec tot e finalizzati'!K45</f>
        <v>7893</v>
      </c>
      <c r="H45" s="66">
        <f>+'Cons spec tot e finalizzati'!L45-'Cons spec tot e finalizzati'!M45</f>
        <v>8031</v>
      </c>
      <c r="I45" s="66">
        <f>+'Cons spec tot e finalizzati'!N45-'Cons spec tot e finalizzati'!O45</f>
        <v>8218</v>
      </c>
      <c r="J45" s="66">
        <f>+'Cons spec tot e finalizzati'!P45-'Cons spec tot e finalizzati'!Q45</f>
        <v>7619</v>
      </c>
      <c r="K45" s="66">
        <f>+'Cons spec tot e finalizzati'!R45-'Cons spec tot e finalizzati'!S45</f>
        <v>6189</v>
      </c>
      <c r="L45" s="66">
        <f>+'Cons spec tot e finalizzati'!T45-'Cons spec tot e finalizzati'!U45</f>
        <v>6165</v>
      </c>
      <c r="M45" s="66">
        <f>+'Cons spec tot e finalizzati'!V45-'Cons spec tot e finalizzati'!W45</f>
        <v>5953</v>
      </c>
    </row>
    <row r="46" spans="1:13" s="2" customFormat="1" ht="12.75">
      <c r="A46" s="27"/>
      <c r="B46" s="22" t="s">
        <v>7</v>
      </c>
      <c r="C46" s="22"/>
      <c r="D46" s="43">
        <f>+'Cons spec tot e finalizzati'!D46-'Cons spec tot e finalizzati'!E46</f>
        <v>50</v>
      </c>
      <c r="E46" s="43">
        <f>+'Cons spec tot e finalizzati'!F46-'Cons spec tot e finalizzati'!G46</f>
        <v>52</v>
      </c>
      <c r="F46" s="43">
        <f>+'Cons spec tot e finalizzati'!H46-'Cons spec tot e finalizzati'!I46</f>
        <v>40</v>
      </c>
      <c r="G46" s="52">
        <f>+'Cons spec tot e finalizzati'!J46-'Cons spec tot e finalizzati'!K46</f>
        <v>174</v>
      </c>
      <c r="H46" s="43">
        <f>+'Cons spec tot e finalizzati'!L46-'Cons spec tot e finalizzati'!M46</f>
        <v>167</v>
      </c>
      <c r="I46" s="43">
        <f>+'Cons spec tot e finalizzati'!N46-'Cons spec tot e finalizzati'!O46</f>
        <v>531</v>
      </c>
      <c r="J46" s="43">
        <f>+'Cons spec tot e finalizzati'!P46-'Cons spec tot e finalizzati'!Q46</f>
        <v>174</v>
      </c>
      <c r="K46" s="43">
        <f>+'Cons spec tot e finalizzati'!R46-'Cons spec tot e finalizzati'!S46</f>
        <v>68</v>
      </c>
      <c r="L46" s="43">
        <f>+'Cons spec tot e finalizzati'!T46-'Cons spec tot e finalizzati'!U46</f>
        <v>72</v>
      </c>
      <c r="M46" s="43">
        <f>+'Cons spec tot e finalizzati'!V46-'Cons spec tot e finalizzati'!W46</f>
        <v>115</v>
      </c>
    </row>
    <row r="47" spans="1:13" s="2" customFormat="1" ht="12.75">
      <c r="A47" s="27"/>
      <c r="B47" s="22" t="s">
        <v>63</v>
      </c>
      <c r="C47" s="22"/>
      <c r="D47" s="67">
        <f>+'Cons spec tot e finalizzati'!D47-'Cons spec tot e finalizzati'!E47</f>
        <v>2927</v>
      </c>
      <c r="E47" s="52">
        <f>+'Cons spec tot e finalizzati'!F47-'Cons spec tot e finalizzati'!G47</f>
        <v>3266</v>
      </c>
      <c r="F47" s="67">
        <f>+'Cons spec tot e finalizzati'!H47-'Cons spec tot e finalizzati'!I47</f>
        <v>2383</v>
      </c>
      <c r="G47" s="52">
        <f>+'Cons spec tot e finalizzati'!J47-'Cons spec tot e finalizzati'!K47</f>
        <v>2614</v>
      </c>
      <c r="H47" s="52">
        <f>+'Cons spec tot e finalizzati'!L47-'Cons spec tot e finalizzati'!M47</f>
        <v>2781</v>
      </c>
      <c r="I47" s="52">
        <f>+'Cons spec tot e finalizzati'!N47-'Cons spec tot e finalizzati'!O47</f>
        <v>2552</v>
      </c>
      <c r="J47" s="52">
        <f>+'Cons spec tot e finalizzati'!P47-'Cons spec tot e finalizzati'!Q47</f>
        <v>2974</v>
      </c>
      <c r="K47" s="52">
        <f>+'Cons spec tot e finalizzati'!R47-'Cons spec tot e finalizzati'!S47</f>
        <v>3097</v>
      </c>
      <c r="L47" s="52">
        <f>+'Cons spec tot e finalizzati'!T47-'Cons spec tot e finalizzati'!U47</f>
        <v>3368</v>
      </c>
      <c r="M47" s="52">
        <f>+'Cons spec tot e finalizzati'!V47-'Cons spec tot e finalizzati'!W47</f>
        <v>3160</v>
      </c>
    </row>
    <row r="48" spans="1:13" s="2" customFormat="1" ht="12.75">
      <c r="A48" s="27"/>
      <c r="B48" s="22" t="s">
        <v>16</v>
      </c>
      <c r="C48" s="22"/>
      <c r="D48" s="67">
        <f>+'Cons spec tot e finalizzati'!D48-'Cons spec tot e finalizzati'!E48</f>
        <v>4902</v>
      </c>
      <c r="E48" s="67">
        <f>+'Cons spec tot e finalizzati'!F48-'Cons spec tot e finalizzati'!G48</f>
        <v>5786</v>
      </c>
      <c r="F48" s="67">
        <f>+'Cons spec tot e finalizzati'!H48-'Cons spec tot e finalizzati'!I48</f>
        <v>5480.412395998492</v>
      </c>
      <c r="G48" s="52">
        <f>+'Cons spec tot e finalizzati'!J48-'Cons spec tot e finalizzati'!K48</f>
        <v>5105</v>
      </c>
      <c r="H48" s="67">
        <f>+'Cons spec tot e finalizzati'!L48-'Cons spec tot e finalizzati'!M48</f>
        <v>5083</v>
      </c>
      <c r="I48" s="67">
        <f>+'Cons spec tot e finalizzati'!N48-'Cons spec tot e finalizzati'!O48</f>
        <v>5135</v>
      </c>
      <c r="J48" s="67">
        <f>+'Cons spec tot e finalizzati'!P48-'Cons spec tot e finalizzati'!Q48</f>
        <v>4471</v>
      </c>
      <c r="K48" s="67">
        <f>+'Cons spec tot e finalizzati'!R48-'Cons spec tot e finalizzati'!S48</f>
        <v>3024</v>
      </c>
      <c r="L48" s="67">
        <f>+'Cons spec tot e finalizzati'!T48-'Cons spec tot e finalizzati'!U48</f>
        <v>2725</v>
      </c>
      <c r="M48" s="67">
        <f>+'Cons spec tot e finalizzati'!V48-'Cons spec tot e finalizzati'!W48</f>
        <v>2678</v>
      </c>
    </row>
    <row r="49" spans="1:13" s="2" customFormat="1" ht="12.75">
      <c r="A49" s="121" t="s">
        <v>148</v>
      </c>
      <c r="B49" s="115"/>
      <c r="C49" s="115"/>
      <c r="D49" s="65">
        <f>+'Cons spec tot e finalizzati'!D49-'Cons spec tot e finalizzati'!E49</f>
        <v>150</v>
      </c>
      <c r="E49" s="65">
        <f>+'Cons spec tot e finalizzati'!F49-'Cons spec tot e finalizzati'!G49</f>
        <v>162</v>
      </c>
      <c r="F49" s="79">
        <f>+'Cons spec tot e finalizzati'!H49-'Cons spec tot e finalizzati'!I49</f>
        <v>169</v>
      </c>
      <c r="G49" s="79">
        <f>+'Cons spec tot e finalizzati'!J49-'Cons spec tot e finalizzati'!K49</f>
        <v>244</v>
      </c>
      <c r="H49" s="65">
        <f>+'Cons spec tot e finalizzati'!L49-'Cons spec tot e finalizzati'!M49</f>
        <v>304</v>
      </c>
      <c r="I49" s="65">
        <f>+'Cons spec tot e finalizzati'!N49-'Cons spec tot e finalizzati'!O49</f>
        <v>227</v>
      </c>
      <c r="J49" s="65">
        <f>+'Cons spec tot e finalizzati'!P49-'Cons spec tot e finalizzati'!Q49</f>
        <v>246</v>
      </c>
      <c r="K49" s="65">
        <f>+'Cons spec tot e finalizzati'!R49-'Cons spec tot e finalizzati'!S49</f>
        <v>146</v>
      </c>
      <c r="L49" s="65">
        <f>+'Cons spec tot e finalizzati'!T49-'Cons spec tot e finalizzati'!U49</f>
        <v>138</v>
      </c>
      <c r="M49" s="65">
        <f>+'Cons spec tot e finalizzati'!V49-'Cons spec tot e finalizzati'!W49</f>
        <v>157</v>
      </c>
    </row>
    <row r="50" spans="1:13" s="2" customFormat="1" ht="12.75">
      <c r="A50" s="121" t="s">
        <v>96</v>
      </c>
      <c r="B50" s="115"/>
      <c r="C50" s="115"/>
      <c r="D50" s="66">
        <f>+'Cons spec tot e finalizzati'!D50-'Cons spec tot e finalizzati'!E50</f>
        <v>1417</v>
      </c>
      <c r="E50" s="66">
        <f>+'Cons spec tot e finalizzati'!F50-'Cons spec tot e finalizzati'!G50</f>
        <v>1272</v>
      </c>
      <c r="F50" s="66">
        <f>+'Cons spec tot e finalizzati'!H50-'Cons spec tot e finalizzati'!I50</f>
        <v>1568.769603412747</v>
      </c>
      <c r="G50" s="66">
        <f>+'Cons spec tot e finalizzati'!J50-'Cons spec tot e finalizzati'!K50</f>
        <v>1060</v>
      </c>
      <c r="H50" s="66">
        <f>+'Cons spec tot e finalizzati'!L50-'Cons spec tot e finalizzati'!M50</f>
        <v>863</v>
      </c>
      <c r="I50" s="66">
        <f>+'Cons spec tot e finalizzati'!N50-'Cons spec tot e finalizzati'!O50</f>
        <v>724</v>
      </c>
      <c r="J50" s="66">
        <f>+'Cons spec tot e finalizzati'!P50-'Cons spec tot e finalizzati'!Q50</f>
        <v>728</v>
      </c>
      <c r="K50" s="66">
        <f>+'Cons spec tot e finalizzati'!R50-'Cons spec tot e finalizzati'!S50</f>
        <v>413</v>
      </c>
      <c r="L50" s="66">
        <f>+'Cons spec tot e finalizzati'!T50-'Cons spec tot e finalizzati'!U50</f>
        <v>451</v>
      </c>
      <c r="M50" s="66">
        <f>+'Cons spec tot e finalizzati'!V50-'Cons spec tot e finalizzati'!W50</f>
        <v>491</v>
      </c>
    </row>
    <row r="51" spans="1:13" s="2" customFormat="1" ht="12.75">
      <c r="A51" s="9"/>
      <c r="B51" s="10" t="s">
        <v>7</v>
      </c>
      <c r="D51" s="49">
        <f>+'Cons spec tot e finalizzati'!D51-'Cons spec tot e finalizzati'!E51</f>
        <v>1127</v>
      </c>
      <c r="E51" s="49">
        <f>+'Cons spec tot e finalizzati'!F51-'Cons spec tot e finalizzati'!G51</f>
        <v>604</v>
      </c>
      <c r="F51" s="43">
        <f>+'Cons spec tot e finalizzati'!H51-'Cons spec tot e finalizzati'!I51</f>
        <v>559</v>
      </c>
      <c r="G51" s="52">
        <f>+'Cons spec tot e finalizzati'!J51-'Cons spec tot e finalizzati'!K51</f>
        <v>33</v>
      </c>
      <c r="H51" s="43">
        <f>+'Cons spec tot e finalizzati'!L51-'Cons spec tot e finalizzati'!M51</f>
        <v>5</v>
      </c>
      <c r="I51" s="43">
        <f>+'Cons spec tot e finalizzati'!N51-'Cons spec tot e finalizzati'!O51</f>
        <v>36</v>
      </c>
      <c r="J51" s="43">
        <f>+'Cons spec tot e finalizzati'!P51-'Cons spec tot e finalizzati'!Q51</f>
        <v>86</v>
      </c>
      <c r="K51" s="43">
        <f>+'Cons spec tot e finalizzati'!R51-'Cons spec tot e finalizzati'!S51</f>
        <v>45</v>
      </c>
      <c r="L51" s="43">
        <f>+'Cons spec tot e finalizzati'!T51-'Cons spec tot e finalizzati'!U51</f>
        <v>33</v>
      </c>
      <c r="M51" s="43">
        <f>+'Cons spec tot e finalizzati'!V51-'Cons spec tot e finalizzati'!W51</f>
        <v>19</v>
      </c>
    </row>
    <row r="52" spans="1:13" s="2" customFormat="1" ht="12.75">
      <c r="A52" s="9"/>
      <c r="B52" s="10" t="s">
        <v>105</v>
      </c>
      <c r="D52" s="49">
        <f>+'Cons spec tot e finalizzati'!D52-'Cons spec tot e finalizzati'!E52</f>
        <v>0</v>
      </c>
      <c r="E52" s="49">
        <f>+'Cons spec tot e finalizzati'!F52-'Cons spec tot e finalizzati'!G52</f>
        <v>491</v>
      </c>
      <c r="F52" s="43">
        <f>+'Cons spec tot e finalizzati'!H52-'Cons spec tot e finalizzati'!I52</f>
        <v>694.7696034127472</v>
      </c>
      <c r="G52" s="52">
        <f>+'Cons spec tot e finalizzati'!J52-'Cons spec tot e finalizzati'!K52</f>
        <v>709</v>
      </c>
      <c r="H52" s="43">
        <f>+'Cons spec tot e finalizzati'!L52-'Cons spec tot e finalizzati'!M52</f>
        <v>587</v>
      </c>
      <c r="I52" s="43">
        <f>+'Cons spec tot e finalizzati'!N52-'Cons spec tot e finalizzati'!O52</f>
        <v>439</v>
      </c>
      <c r="J52" s="43">
        <f>+'Cons spec tot e finalizzati'!P52-'Cons spec tot e finalizzati'!Q52</f>
        <v>552</v>
      </c>
      <c r="K52" s="43">
        <f>+'Cons spec tot e finalizzati'!R52-'Cons spec tot e finalizzati'!S52</f>
        <v>280</v>
      </c>
      <c r="L52" s="43">
        <f>+'Cons spec tot e finalizzati'!T52-'Cons spec tot e finalizzati'!U52</f>
        <v>335</v>
      </c>
      <c r="M52" s="43">
        <f>+'Cons spec tot e finalizzati'!V52-'Cons spec tot e finalizzati'!W52</f>
        <v>393</v>
      </c>
    </row>
    <row r="53" spans="1:13" s="2" customFormat="1" ht="12.75">
      <c r="A53" s="28"/>
      <c r="B53" s="22" t="s">
        <v>1</v>
      </c>
      <c r="D53" s="68">
        <f>+'Cons spec tot e finalizzati'!D53-'Cons spec tot e finalizzati'!E53</f>
        <v>290</v>
      </c>
      <c r="E53" s="68">
        <f>+'Cons spec tot e finalizzati'!F53-'Cons spec tot e finalizzati'!G53</f>
        <v>177</v>
      </c>
      <c r="F53" s="68">
        <f>+'Cons spec tot e finalizzati'!H53-'Cons spec tot e finalizzati'!I53</f>
        <v>315</v>
      </c>
      <c r="G53" s="64">
        <f>+'Cons spec tot e finalizzati'!J53-'Cons spec tot e finalizzati'!K53</f>
        <v>318</v>
      </c>
      <c r="H53" s="68">
        <f>+'Cons spec tot e finalizzati'!L53-'Cons spec tot e finalizzati'!M53</f>
        <v>271</v>
      </c>
      <c r="I53" s="68">
        <f>+'Cons spec tot e finalizzati'!N53-'Cons spec tot e finalizzati'!O53</f>
        <v>249</v>
      </c>
      <c r="J53" s="68">
        <f>+'Cons spec tot e finalizzati'!P53-'Cons spec tot e finalizzati'!Q53</f>
        <v>90</v>
      </c>
      <c r="K53" s="68">
        <f>+'Cons spec tot e finalizzati'!R53-'Cons spec tot e finalizzati'!S53</f>
        <v>88</v>
      </c>
      <c r="L53" s="68">
        <f>+'Cons spec tot e finalizzati'!T53-'Cons spec tot e finalizzati'!U53</f>
        <v>83</v>
      </c>
      <c r="M53" s="68">
        <f>+'Cons spec tot e finalizzati'!V53-'Cons spec tot e finalizzati'!W53</f>
        <v>79</v>
      </c>
    </row>
    <row r="54" spans="1:13" s="2" customFormat="1" ht="12.75">
      <c r="A54" s="153" t="s">
        <v>149</v>
      </c>
      <c r="B54" s="118"/>
      <c r="C54" s="118"/>
      <c r="D54" s="148">
        <f>+'Cons spec tot e finalizzati'!D54-'Cons spec tot e finalizzati'!E54</f>
        <v>46259</v>
      </c>
      <c r="E54" s="148">
        <f>+'Cons spec tot e finalizzati'!F54-'Cons spec tot e finalizzati'!G54</f>
        <v>52277.5</v>
      </c>
      <c r="F54" s="148">
        <f>+'Cons spec tot e finalizzati'!H54-'Cons spec tot e finalizzati'!I54</f>
        <v>52232.7546881375</v>
      </c>
      <c r="G54" s="148">
        <f>+'Cons spec tot e finalizzati'!J54-'Cons spec tot e finalizzati'!K54</f>
        <v>55433</v>
      </c>
      <c r="H54" s="148">
        <f>+'Cons spec tot e finalizzati'!L54-'Cons spec tot e finalizzati'!M54</f>
        <v>57119</v>
      </c>
      <c r="I54" s="148">
        <f>+'Cons spec tot e finalizzati'!N54-'Cons spec tot e finalizzati'!O54</f>
        <v>58044</v>
      </c>
      <c r="J54" s="148">
        <f>+'Cons spec tot e finalizzati'!P54-'Cons spec tot e finalizzati'!Q54</f>
        <v>59035</v>
      </c>
      <c r="K54" s="148">
        <f>+'Cons spec tot e finalizzati'!R54-'Cons spec tot e finalizzati'!S54</f>
        <v>50294</v>
      </c>
      <c r="L54" s="148">
        <f>+'Cons spec tot e finalizzati'!T54-'Cons spec tot e finalizzati'!U54</f>
        <v>55584</v>
      </c>
      <c r="M54" s="148">
        <f>+'Cons spec tot e finalizzati'!V54-'Cons spec tot e finalizzati'!W54</f>
        <v>53456</v>
      </c>
    </row>
    <row r="55" spans="1:13" s="2" customFormat="1" ht="12.75">
      <c r="A55" s="116" t="s">
        <v>117</v>
      </c>
      <c r="B55" s="117"/>
      <c r="C55" s="117"/>
      <c r="D55" s="66">
        <f>+'Cons spec tot e finalizzati'!D55-'Cons spec tot e finalizzati'!E55</f>
        <v>14315</v>
      </c>
      <c r="E55" s="66">
        <f>+'Cons spec tot e finalizzati'!F55-'Cons spec tot e finalizzati'!G55</f>
        <v>15831</v>
      </c>
      <c r="F55" s="66">
        <f>+'Cons spec tot e finalizzati'!H55-'Cons spec tot e finalizzati'!I55</f>
        <v>15788.754688137502</v>
      </c>
      <c r="G55" s="66">
        <f>+'Cons spec tot e finalizzati'!J55-'Cons spec tot e finalizzati'!K55</f>
        <v>14958</v>
      </c>
      <c r="H55" s="66">
        <f>+'Cons spec tot e finalizzati'!L55-'Cons spec tot e finalizzati'!M55</f>
        <v>15154</v>
      </c>
      <c r="I55" s="66">
        <f>+'Cons spec tot e finalizzati'!N55-'Cons spec tot e finalizzati'!O55</f>
        <v>15324</v>
      </c>
      <c r="J55" s="66">
        <f>+'Cons spec tot e finalizzati'!P55-'Cons spec tot e finalizzati'!Q55</f>
        <v>16643</v>
      </c>
      <c r="K55" s="66">
        <f>+'Cons spec tot e finalizzati'!R55-'Cons spec tot e finalizzati'!S55</f>
        <v>14965</v>
      </c>
      <c r="L55" s="66">
        <f>+'Cons spec tot e finalizzati'!T55-'Cons spec tot e finalizzati'!U55</f>
        <v>16009</v>
      </c>
      <c r="M55" s="66">
        <f>+'Cons spec tot e finalizzati'!V55-'Cons spec tot e finalizzati'!W55</f>
        <v>15019</v>
      </c>
    </row>
    <row r="56" spans="1:13" s="2" customFormat="1" ht="12.75">
      <c r="A56" s="27"/>
      <c r="B56" s="22" t="s">
        <v>128</v>
      </c>
      <c r="D56" s="127">
        <f>+'Cons spec tot e finalizzati'!D56-'Cons spec tot e finalizzati'!E56</f>
        <v>1553</v>
      </c>
      <c r="E56" s="127">
        <f>+'Cons spec tot e finalizzati'!F56-'Cons spec tot e finalizzati'!G56</f>
        <v>1732</v>
      </c>
      <c r="F56" s="127">
        <f>+'Cons spec tot e finalizzati'!H56-'Cons spec tot e finalizzati'!I56</f>
        <v>2434.6882924385545</v>
      </c>
      <c r="G56" s="127">
        <f>+'Cons spec tot e finalizzati'!J56-'Cons spec tot e finalizzati'!K56</f>
        <v>979</v>
      </c>
      <c r="H56" s="127">
        <f>+'Cons spec tot e finalizzati'!L56-'Cons spec tot e finalizzati'!M56</f>
        <v>685</v>
      </c>
      <c r="I56" s="127">
        <f>+'Cons spec tot e finalizzati'!N56-'Cons spec tot e finalizzati'!O56</f>
        <v>523</v>
      </c>
      <c r="J56" s="127">
        <f>+'Cons spec tot e finalizzati'!P56-'Cons spec tot e finalizzati'!Q56</f>
        <v>510</v>
      </c>
      <c r="K56" s="127">
        <f>+'Cons spec tot e finalizzati'!R56-'Cons spec tot e finalizzati'!S56</f>
        <v>565</v>
      </c>
      <c r="L56" s="127">
        <f>+'Cons spec tot e finalizzati'!T56-'Cons spec tot e finalizzati'!U56</f>
        <v>288</v>
      </c>
      <c r="M56" s="127">
        <f>+'Cons spec tot e finalizzati'!V56-'Cons spec tot e finalizzati'!W56</f>
        <v>487</v>
      </c>
    </row>
    <row r="57" spans="1:13" s="125" customFormat="1" ht="12.75">
      <c r="A57" s="27"/>
      <c r="B57" s="22" t="s">
        <v>56</v>
      </c>
      <c r="C57" s="2"/>
      <c r="D57" s="127">
        <f>+'Cons spec tot e finalizzati'!D57-'Cons spec tot e finalizzati'!E57</f>
        <v>570</v>
      </c>
      <c r="E57" s="127">
        <f>+'Cons spec tot e finalizzati'!F57-'Cons spec tot e finalizzati'!G57</f>
        <v>1387</v>
      </c>
      <c r="F57" s="127">
        <f>+'Cons spec tot e finalizzati'!H57-'Cons spec tot e finalizzati'!I57</f>
        <v>546.9487055007824</v>
      </c>
      <c r="G57" s="127">
        <f>+'Cons spec tot e finalizzati'!J57-'Cons spec tot e finalizzati'!K57</f>
        <v>1305</v>
      </c>
      <c r="H57" s="127">
        <f>+'Cons spec tot e finalizzati'!L57-'Cons spec tot e finalizzati'!M57</f>
        <v>1095</v>
      </c>
      <c r="I57" s="127">
        <f>+'Cons spec tot e finalizzati'!N57-'Cons spec tot e finalizzati'!O57</f>
        <v>973</v>
      </c>
      <c r="J57" s="127">
        <f>+'Cons spec tot e finalizzati'!P57-'Cons spec tot e finalizzati'!Q57</f>
        <v>1707</v>
      </c>
      <c r="K57" s="127">
        <f>+'Cons spec tot e finalizzati'!R57-'Cons spec tot e finalizzati'!S57</f>
        <v>385</v>
      </c>
      <c r="L57" s="127">
        <f>+'Cons spec tot e finalizzati'!T57-'Cons spec tot e finalizzati'!U57</f>
        <v>1551</v>
      </c>
      <c r="M57" s="127">
        <f>+'Cons spec tot e finalizzati'!V57-'Cons spec tot e finalizzati'!W57</f>
        <v>607</v>
      </c>
    </row>
    <row r="58" spans="1:13" s="125" customFormat="1" ht="8.25">
      <c r="A58" s="126"/>
      <c r="C58" s="129" t="s">
        <v>10</v>
      </c>
      <c r="D58" s="127">
        <f>+'Cons spec tot e finalizzati'!D58-'Cons spec tot e finalizzati'!E58</f>
        <v>362</v>
      </c>
      <c r="E58" s="127">
        <f>+'Cons spec tot e finalizzati'!F58-'Cons spec tot e finalizzati'!G58</f>
        <v>1240</v>
      </c>
      <c r="F58" s="127">
        <f>+'Cons spec tot e finalizzati'!H58-'Cons spec tot e finalizzati'!I58</f>
        <v>516</v>
      </c>
      <c r="G58" s="127">
        <f>+'Cons spec tot e finalizzati'!J58-'Cons spec tot e finalizzati'!K58</f>
        <v>1013</v>
      </c>
      <c r="H58" s="127">
        <f>+'Cons spec tot e finalizzati'!L58-'Cons spec tot e finalizzati'!M58</f>
        <v>533</v>
      </c>
      <c r="I58" s="127">
        <f>+'Cons spec tot e finalizzati'!N58-'Cons spec tot e finalizzati'!O58</f>
        <v>684</v>
      </c>
      <c r="J58" s="127">
        <f>+'Cons spec tot e finalizzati'!P58-'Cons spec tot e finalizzati'!Q58</f>
        <v>1638</v>
      </c>
      <c r="K58" s="127">
        <f>+'Cons spec tot e finalizzati'!R58-'Cons spec tot e finalizzati'!S58</f>
        <v>373</v>
      </c>
      <c r="L58" s="127">
        <f>+'Cons spec tot e finalizzati'!T58-'Cons spec tot e finalizzati'!U58</f>
        <v>1536</v>
      </c>
      <c r="M58" s="127">
        <f>+'Cons spec tot e finalizzati'!V58-'Cons spec tot e finalizzati'!W58</f>
        <v>151</v>
      </c>
    </row>
    <row r="59" spans="1:13" s="125" customFormat="1" ht="8.25">
      <c r="A59" s="126"/>
      <c r="C59" s="129" t="s">
        <v>141</v>
      </c>
      <c r="D59" s="127">
        <f>+'Cons spec tot e finalizzati'!D59-'Cons spec tot e finalizzati'!E59</f>
        <v>0</v>
      </c>
      <c r="E59" s="127">
        <f>+'Cons spec tot e finalizzati'!F59-'Cons spec tot e finalizzati'!G59</f>
        <v>0</v>
      </c>
      <c r="F59" s="127">
        <f>+'Cons spec tot e finalizzati'!H59-'Cons spec tot e finalizzati'!I59</f>
        <v>0</v>
      </c>
      <c r="G59" s="127">
        <f>+'Cons spec tot e finalizzati'!J59-'Cons spec tot e finalizzati'!K59</f>
        <v>0</v>
      </c>
      <c r="H59" s="127">
        <f>+'Cons spec tot e finalizzati'!L59-'Cons spec tot e finalizzati'!M59</f>
        <v>0</v>
      </c>
      <c r="I59" s="127">
        <f>+'Cons spec tot e finalizzati'!N59-'Cons spec tot e finalizzati'!O59</f>
        <v>0</v>
      </c>
      <c r="J59" s="127">
        <f>+'Cons spec tot e finalizzati'!P59-'Cons spec tot e finalizzati'!Q59</f>
        <v>0</v>
      </c>
      <c r="K59" s="127">
        <f>+'Cons spec tot e finalizzati'!R59-'Cons spec tot e finalizzati'!S59</f>
        <v>0</v>
      </c>
      <c r="L59" s="127">
        <f>+'Cons spec tot e finalizzati'!T59-'Cons spec tot e finalizzati'!U59</f>
        <v>0</v>
      </c>
      <c r="M59" s="127">
        <f>+'Cons spec tot e finalizzati'!V59-'Cons spec tot e finalizzati'!W59</f>
        <v>0</v>
      </c>
    </row>
    <row r="60" spans="1:13" s="125" customFormat="1" ht="11.25">
      <c r="A60" s="126"/>
      <c r="C60" s="125" t="s">
        <v>86</v>
      </c>
      <c r="D60" s="52">
        <f>+'Cons spec tot e finalizzati'!D60-'Cons spec tot e finalizzati'!E60</f>
        <v>206</v>
      </c>
      <c r="E60" s="52">
        <f>+'Cons spec tot e finalizzati'!F60-'Cons spec tot e finalizzati'!G60</f>
        <v>145</v>
      </c>
      <c r="F60" s="52">
        <f>+'Cons spec tot e finalizzati'!H60-'Cons spec tot e finalizzati'!I60</f>
        <v>0.9487055007824097</v>
      </c>
      <c r="G60" s="52">
        <f>+'Cons spec tot e finalizzati'!J60-'Cons spec tot e finalizzati'!K60</f>
        <v>199</v>
      </c>
      <c r="H60" s="52">
        <f>+'Cons spec tot e finalizzati'!L60-'Cons spec tot e finalizzati'!M60</f>
        <v>258</v>
      </c>
      <c r="I60" s="52">
        <f>+'Cons spec tot e finalizzati'!N60-'Cons spec tot e finalizzati'!O60</f>
        <v>64</v>
      </c>
      <c r="J60" s="52">
        <f>+'Cons spec tot e finalizzati'!P60-'Cons spec tot e finalizzati'!Q60</f>
        <v>59</v>
      </c>
      <c r="K60" s="52">
        <f>+'Cons spec tot e finalizzati'!R60-'Cons spec tot e finalizzati'!S60</f>
        <v>3</v>
      </c>
      <c r="L60" s="52">
        <f>+'Cons spec tot e finalizzati'!T60-'Cons spec tot e finalizzati'!U60</f>
        <v>6</v>
      </c>
      <c r="M60" s="52">
        <f>+'Cons spec tot e finalizzati'!V60-'Cons spec tot e finalizzati'!W60</f>
        <v>449</v>
      </c>
    </row>
    <row r="61" spans="1:13" s="2" customFormat="1" ht="12.75">
      <c r="A61" s="126"/>
      <c r="B61" s="125"/>
      <c r="C61" s="125" t="s">
        <v>9</v>
      </c>
      <c r="D61" s="52">
        <f>+'Cons spec tot e finalizzati'!D61-'Cons spec tot e finalizzati'!E61</f>
        <v>2</v>
      </c>
      <c r="E61" s="52">
        <f>+'Cons spec tot e finalizzati'!F61-'Cons spec tot e finalizzati'!G61</f>
        <v>2</v>
      </c>
      <c r="F61" s="52">
        <f>+'Cons spec tot e finalizzati'!H61-'Cons spec tot e finalizzati'!I61</f>
        <v>30</v>
      </c>
      <c r="G61" s="52">
        <f>+'Cons spec tot e finalizzati'!J61-'Cons spec tot e finalizzati'!K61</f>
        <v>93</v>
      </c>
      <c r="H61" s="52">
        <f>+'Cons spec tot e finalizzati'!L61-'Cons spec tot e finalizzati'!M61</f>
        <v>304</v>
      </c>
      <c r="I61" s="52">
        <f>+'Cons spec tot e finalizzati'!N61-'Cons spec tot e finalizzati'!O61</f>
        <v>225</v>
      </c>
      <c r="J61" s="52">
        <f>+'Cons spec tot e finalizzati'!P61-'Cons spec tot e finalizzati'!Q61</f>
        <v>10</v>
      </c>
      <c r="K61" s="52">
        <f>+'Cons spec tot e finalizzati'!R61-'Cons spec tot e finalizzati'!S61</f>
        <v>9</v>
      </c>
      <c r="L61" s="52">
        <f>+'Cons spec tot e finalizzati'!T61-'Cons spec tot e finalizzati'!U61</f>
        <v>9</v>
      </c>
      <c r="M61" s="52">
        <f>+'Cons spec tot e finalizzati'!V61-'Cons spec tot e finalizzati'!W61</f>
        <v>7</v>
      </c>
    </row>
    <row r="62" spans="1:13" s="2" customFormat="1" ht="12.75">
      <c r="A62" s="27"/>
      <c r="B62" s="10" t="s">
        <v>129</v>
      </c>
      <c r="D62" s="52">
        <f>+'Cons spec tot e finalizzati'!D62-'Cons spec tot e finalizzati'!E62</f>
        <v>491</v>
      </c>
      <c r="E62" s="52">
        <f>+'Cons spec tot e finalizzati'!F62-'Cons spec tot e finalizzati'!G62</f>
        <v>346</v>
      </c>
      <c r="F62" s="52">
        <f>+'Cons spec tot e finalizzati'!H62-'Cons spec tot e finalizzati'!I62</f>
        <v>369</v>
      </c>
      <c r="G62" s="52">
        <f>+'Cons spec tot e finalizzati'!J62-'Cons spec tot e finalizzati'!K62</f>
        <v>383</v>
      </c>
      <c r="H62" s="52">
        <f>+'Cons spec tot e finalizzati'!L62-'Cons spec tot e finalizzati'!M62</f>
        <v>441</v>
      </c>
      <c r="I62" s="52">
        <f>+'Cons spec tot e finalizzati'!N62-'Cons spec tot e finalizzati'!O62</f>
        <v>488</v>
      </c>
      <c r="J62" s="52">
        <f>+'Cons spec tot e finalizzati'!P62-'Cons spec tot e finalizzati'!Q62</f>
        <v>453</v>
      </c>
      <c r="K62" s="52">
        <f>+'Cons spec tot e finalizzati'!R62-'Cons spec tot e finalizzati'!S62</f>
        <v>381</v>
      </c>
      <c r="L62" s="52">
        <f>+'Cons spec tot e finalizzati'!T62-'Cons spec tot e finalizzati'!U62</f>
        <v>373</v>
      </c>
      <c r="M62" s="52">
        <f>+'Cons spec tot e finalizzati'!V62-'Cons spec tot e finalizzati'!W62</f>
        <v>330</v>
      </c>
    </row>
    <row r="63" spans="1:13" s="2" customFormat="1" ht="12.75">
      <c r="A63" s="131"/>
      <c r="B63" s="10" t="s">
        <v>130</v>
      </c>
      <c r="D63" s="49">
        <f>+'Cons spec tot e finalizzati'!D63-'Cons spec tot e finalizzati'!E63</f>
        <v>77</v>
      </c>
      <c r="E63" s="49">
        <f>+'Cons spec tot e finalizzati'!F63-'Cons spec tot e finalizzati'!G63</f>
        <v>134</v>
      </c>
      <c r="F63" s="49">
        <f>+'Cons spec tot e finalizzati'!H63-'Cons spec tot e finalizzati'!I63</f>
        <v>38</v>
      </c>
      <c r="G63" s="49">
        <f>+'Cons spec tot e finalizzati'!J63-'Cons spec tot e finalizzati'!K63</f>
        <v>29</v>
      </c>
      <c r="H63" s="49">
        <f>+'Cons spec tot e finalizzati'!L63-'Cons spec tot e finalizzati'!M63</f>
        <v>136</v>
      </c>
      <c r="I63" s="49">
        <f>+'Cons spec tot e finalizzati'!N63-'Cons spec tot e finalizzati'!O63</f>
        <v>104</v>
      </c>
      <c r="J63" s="49">
        <f>+'Cons spec tot e finalizzati'!P63-'Cons spec tot e finalizzati'!Q63</f>
        <v>98</v>
      </c>
      <c r="K63" s="49">
        <f>+'Cons spec tot e finalizzati'!R63-'Cons spec tot e finalizzati'!S63</f>
        <v>0</v>
      </c>
      <c r="L63" s="49">
        <f>+'Cons spec tot e finalizzati'!T63-'Cons spec tot e finalizzati'!U63</f>
        <v>18</v>
      </c>
      <c r="M63" s="49">
        <f>+'Cons spec tot e finalizzati'!V63-'Cons spec tot e finalizzati'!W63</f>
        <v>0</v>
      </c>
    </row>
    <row r="64" spans="1:13" s="2" customFormat="1" ht="12.75">
      <c r="A64" s="27"/>
      <c r="B64" s="10" t="s">
        <v>131</v>
      </c>
      <c r="D64" s="127">
        <f>+'Cons spec tot e finalizzati'!D64-'Cons spec tot e finalizzati'!E64</f>
        <v>1</v>
      </c>
      <c r="E64" s="127">
        <f>+'Cons spec tot e finalizzati'!F64-'Cons spec tot e finalizzati'!G64</f>
        <v>104</v>
      </c>
      <c r="F64" s="127">
        <f>+'Cons spec tot e finalizzati'!H64-'Cons spec tot e finalizzati'!I64</f>
        <v>0</v>
      </c>
      <c r="G64" s="127">
        <f>+'Cons spec tot e finalizzati'!J64-'Cons spec tot e finalizzati'!K64</f>
        <v>1</v>
      </c>
      <c r="H64" s="127">
        <f>+'Cons spec tot e finalizzati'!L64-'Cons spec tot e finalizzati'!M64</f>
        <v>0</v>
      </c>
      <c r="I64" s="127">
        <f>+'Cons spec tot e finalizzati'!N64-'Cons spec tot e finalizzati'!O64</f>
        <v>67</v>
      </c>
      <c r="J64" s="127">
        <f>+'Cons spec tot e finalizzati'!P64-'Cons spec tot e finalizzati'!Q64</f>
        <v>1</v>
      </c>
      <c r="K64" s="127">
        <f>+'Cons spec tot e finalizzati'!R64-'Cons spec tot e finalizzati'!S64</f>
        <v>1</v>
      </c>
      <c r="L64" s="127">
        <f>+'Cons spec tot e finalizzati'!T64-'Cons spec tot e finalizzati'!U64</f>
        <v>0</v>
      </c>
      <c r="M64" s="127">
        <f>+'Cons spec tot e finalizzati'!V64-'Cons spec tot e finalizzati'!W64</f>
        <v>0</v>
      </c>
    </row>
    <row r="65" spans="1:13" s="125" customFormat="1" ht="12.75">
      <c r="A65" s="27"/>
      <c r="B65" s="22" t="s">
        <v>132</v>
      </c>
      <c r="C65" s="2"/>
      <c r="D65" s="127">
        <f>+'Cons spec tot e finalizzati'!D65-'Cons spec tot e finalizzati'!E65</f>
        <v>11623</v>
      </c>
      <c r="E65" s="127">
        <f>+'Cons spec tot e finalizzati'!F65-'Cons spec tot e finalizzati'!G65</f>
        <v>12128</v>
      </c>
      <c r="F65" s="127">
        <f>+'Cons spec tot e finalizzati'!H65-'Cons spec tot e finalizzati'!I65</f>
        <v>12400.117690198163</v>
      </c>
      <c r="G65" s="127">
        <f>+'Cons spec tot e finalizzati'!J65-'Cons spec tot e finalizzati'!K65</f>
        <v>12261</v>
      </c>
      <c r="H65" s="127">
        <f>+'Cons spec tot e finalizzati'!L65-'Cons spec tot e finalizzati'!M65</f>
        <v>12797</v>
      </c>
      <c r="I65" s="127">
        <f>+'Cons spec tot e finalizzati'!N65-'Cons spec tot e finalizzati'!O65</f>
        <v>13169</v>
      </c>
      <c r="J65" s="127">
        <f>+'Cons spec tot e finalizzati'!P65-'Cons spec tot e finalizzati'!Q65</f>
        <v>13874</v>
      </c>
      <c r="K65" s="127">
        <f>+'Cons spec tot e finalizzati'!R65-'Cons spec tot e finalizzati'!S65</f>
        <v>13633</v>
      </c>
      <c r="L65" s="127">
        <f>+'Cons spec tot e finalizzati'!T65-'Cons spec tot e finalizzati'!U65</f>
        <v>13779</v>
      </c>
      <c r="M65" s="127">
        <f>+'Cons spec tot e finalizzati'!V65-'Cons spec tot e finalizzati'!W65</f>
        <v>13595</v>
      </c>
    </row>
    <row r="66" spans="1:13" s="125" customFormat="1" ht="8.25">
      <c r="A66" s="126"/>
      <c r="C66" s="125" t="s">
        <v>133</v>
      </c>
      <c r="D66" s="127">
        <f>+'Cons spec tot e finalizzati'!D66-'Cons spec tot e finalizzati'!E66</f>
        <v>0</v>
      </c>
      <c r="E66" s="127">
        <f>+'Cons spec tot e finalizzati'!F66-'Cons spec tot e finalizzati'!G66</f>
        <v>0</v>
      </c>
      <c r="F66" s="127">
        <f>+'Cons spec tot e finalizzati'!H66-'Cons spec tot e finalizzati'!I66</f>
        <v>0</v>
      </c>
      <c r="G66" s="127">
        <f>+'Cons spec tot e finalizzati'!J66-'Cons spec tot e finalizzati'!K66</f>
        <v>0</v>
      </c>
      <c r="H66" s="127">
        <f>+'Cons spec tot e finalizzati'!L66-'Cons spec tot e finalizzati'!M66</f>
        <v>197</v>
      </c>
      <c r="I66" s="127">
        <f>+'Cons spec tot e finalizzati'!N66-'Cons spec tot e finalizzati'!O66</f>
        <v>188</v>
      </c>
      <c r="J66" s="127">
        <f>+'Cons spec tot e finalizzati'!P66-'Cons spec tot e finalizzati'!Q66</f>
        <v>179</v>
      </c>
      <c r="K66" s="127">
        <f>+'Cons spec tot e finalizzati'!R66-'Cons spec tot e finalizzati'!S66</f>
        <v>37</v>
      </c>
      <c r="L66" s="127">
        <f>+'Cons spec tot e finalizzati'!T66-'Cons spec tot e finalizzati'!U66</f>
        <v>10</v>
      </c>
      <c r="M66" s="127">
        <f>+'Cons spec tot e finalizzati'!V66-'Cons spec tot e finalizzati'!W66</f>
        <v>0</v>
      </c>
    </row>
    <row r="67" spans="1:13" s="125" customFormat="1" ht="8.25">
      <c r="A67" s="126"/>
      <c r="C67" s="125" t="s">
        <v>102</v>
      </c>
      <c r="D67" s="127">
        <f>+'Cons spec tot e finalizzati'!D67-'Cons spec tot e finalizzati'!E67</f>
        <v>3318</v>
      </c>
      <c r="E67" s="127">
        <f>+'Cons spec tot e finalizzati'!F67-'Cons spec tot e finalizzati'!G67</f>
        <v>2177</v>
      </c>
      <c r="F67" s="127">
        <f>+'Cons spec tot e finalizzati'!H67-'Cons spec tot e finalizzati'!I67</f>
        <v>2440.8248384781045</v>
      </c>
      <c r="G67" s="127">
        <f>+'Cons spec tot e finalizzati'!J67-'Cons spec tot e finalizzati'!K67</f>
        <v>2975</v>
      </c>
      <c r="H67" s="127">
        <f>+'Cons spec tot e finalizzati'!L67-'Cons spec tot e finalizzati'!M67</f>
        <v>2629</v>
      </c>
      <c r="I67" s="127">
        <f>+'Cons spec tot e finalizzati'!N67-'Cons spec tot e finalizzati'!O67</f>
        <v>2647</v>
      </c>
      <c r="J67" s="127">
        <f>+'Cons spec tot e finalizzati'!P67-'Cons spec tot e finalizzati'!Q67</f>
        <v>2799</v>
      </c>
      <c r="K67" s="127">
        <f>+'Cons spec tot e finalizzati'!R67-'Cons spec tot e finalizzati'!S67</f>
        <v>2757</v>
      </c>
      <c r="L67" s="127">
        <f>+'Cons spec tot e finalizzati'!T67-'Cons spec tot e finalizzati'!U67</f>
        <v>2744</v>
      </c>
      <c r="M67" s="127">
        <f>+'Cons spec tot e finalizzati'!V67-'Cons spec tot e finalizzati'!W67</f>
        <v>2891</v>
      </c>
    </row>
    <row r="68" spans="1:13" s="125" customFormat="1" ht="8.25">
      <c r="A68" s="126"/>
      <c r="C68" s="125" t="s">
        <v>104</v>
      </c>
      <c r="D68" s="127">
        <f>+'Cons spec tot e finalizzati'!D68-'Cons spec tot e finalizzati'!E68</f>
        <v>5020</v>
      </c>
      <c r="E68" s="127">
        <f>+'Cons spec tot e finalizzati'!F68-'Cons spec tot e finalizzati'!G68</f>
        <v>6466</v>
      </c>
      <c r="F68" s="127">
        <f>+'Cons spec tot e finalizzati'!H68-'Cons spec tot e finalizzati'!I68</f>
        <v>4471.29285172006</v>
      </c>
      <c r="G68" s="127">
        <f>+'Cons spec tot e finalizzati'!J68-'Cons spec tot e finalizzati'!K68</f>
        <v>4221</v>
      </c>
      <c r="H68" s="127">
        <f>+'Cons spec tot e finalizzati'!L68-'Cons spec tot e finalizzati'!M68</f>
        <v>3435</v>
      </c>
      <c r="I68" s="127">
        <f>+'Cons spec tot e finalizzati'!N68-'Cons spec tot e finalizzati'!O68</f>
        <v>3476</v>
      </c>
      <c r="J68" s="127">
        <f>+'Cons spec tot e finalizzati'!P68-'Cons spec tot e finalizzati'!Q68</f>
        <v>3580</v>
      </c>
      <c r="K68" s="127">
        <f>+'Cons spec tot e finalizzati'!R68-'Cons spec tot e finalizzati'!S68</f>
        <v>3503</v>
      </c>
      <c r="L68" s="127">
        <f>+'Cons spec tot e finalizzati'!T68-'Cons spec tot e finalizzati'!U68</f>
        <v>3496</v>
      </c>
      <c r="M68" s="127">
        <f>+'Cons spec tot e finalizzati'!V68-'Cons spec tot e finalizzati'!W68</f>
        <v>3317</v>
      </c>
    </row>
    <row r="69" spans="1:13" s="125" customFormat="1" ht="8.25">
      <c r="A69" s="126"/>
      <c r="C69" s="125" t="s">
        <v>103</v>
      </c>
      <c r="D69" s="133">
        <f>+'Cons spec tot e finalizzati'!D69-'Cons spec tot e finalizzati'!E69</f>
        <v>0</v>
      </c>
      <c r="E69" s="133">
        <f>+'Cons spec tot e finalizzati'!F69-'Cons spec tot e finalizzati'!G69</f>
        <v>0</v>
      </c>
      <c r="F69" s="133">
        <f>+'Cons spec tot e finalizzati'!H69-'Cons spec tot e finalizzati'!I69</f>
        <v>0</v>
      </c>
      <c r="G69" s="133">
        <f>+'Cons spec tot e finalizzati'!J69-'Cons spec tot e finalizzati'!K69</f>
        <v>154</v>
      </c>
      <c r="H69" s="133">
        <f>+'Cons spec tot e finalizzati'!L69-'Cons spec tot e finalizzati'!M69</f>
        <v>1372</v>
      </c>
      <c r="I69" s="133">
        <f>+'Cons spec tot e finalizzati'!N69-'Cons spec tot e finalizzati'!O69</f>
        <v>1353</v>
      </c>
      <c r="J69" s="133">
        <f>+'Cons spec tot e finalizzati'!P69-'Cons spec tot e finalizzati'!Q69</f>
        <v>1483</v>
      </c>
      <c r="K69" s="133">
        <f>+'Cons spec tot e finalizzati'!R69-'Cons spec tot e finalizzati'!S69</f>
        <v>1366</v>
      </c>
      <c r="L69" s="133">
        <f>+'Cons spec tot e finalizzati'!T69-'Cons spec tot e finalizzati'!U69</f>
        <v>1323</v>
      </c>
      <c r="M69" s="133">
        <f>+'Cons spec tot e finalizzati'!V69-'Cons spec tot e finalizzati'!W69</f>
        <v>1383</v>
      </c>
    </row>
    <row r="70" spans="1:13" s="125" customFormat="1" ht="8.25">
      <c r="A70" s="126"/>
      <c r="C70" s="125" t="s">
        <v>134</v>
      </c>
      <c r="D70" s="127">
        <f>+'Cons spec tot e finalizzati'!D70-'Cons spec tot e finalizzati'!E70</f>
        <v>0</v>
      </c>
      <c r="E70" s="127">
        <f>+'Cons spec tot e finalizzati'!F70-'Cons spec tot e finalizzati'!G70</f>
        <v>0</v>
      </c>
      <c r="F70" s="127">
        <f>+'Cons spec tot e finalizzati'!H70-'Cons spec tot e finalizzati'!I70</f>
        <v>3904</v>
      </c>
      <c r="G70" s="127">
        <f>+'Cons spec tot e finalizzati'!J70-'Cons spec tot e finalizzati'!K70</f>
        <v>4911</v>
      </c>
      <c r="H70" s="127">
        <f>+'Cons spec tot e finalizzati'!L70-'Cons spec tot e finalizzati'!M70</f>
        <v>5164</v>
      </c>
      <c r="I70" s="127">
        <f>+'Cons spec tot e finalizzati'!N70-'Cons spec tot e finalizzati'!O70</f>
        <v>5505</v>
      </c>
      <c r="J70" s="127">
        <f>+'Cons spec tot e finalizzati'!P70-'Cons spec tot e finalizzati'!Q70</f>
        <v>5833</v>
      </c>
      <c r="K70" s="127">
        <f>+'Cons spec tot e finalizzati'!R70-'Cons spec tot e finalizzati'!S70</f>
        <v>5970</v>
      </c>
      <c r="L70" s="127">
        <f>+'Cons spec tot e finalizzati'!T70-'Cons spec tot e finalizzati'!U70</f>
        <v>6206</v>
      </c>
      <c r="M70" s="127">
        <f>+'Cons spec tot e finalizzati'!V70-'Cons spec tot e finalizzati'!W70</f>
        <v>6004</v>
      </c>
    </row>
    <row r="71" spans="1:13" s="125" customFormat="1" ht="8.25">
      <c r="A71" s="126"/>
      <c r="C71" s="132" t="s">
        <v>12</v>
      </c>
      <c r="D71" s="133">
        <f>+'Cons spec tot e finalizzati'!D71-'Cons spec tot e finalizzati'!E71</f>
        <v>1770</v>
      </c>
      <c r="E71" s="133">
        <f>+'Cons spec tot e finalizzati'!F71-'Cons spec tot e finalizzati'!G71</f>
        <v>1708</v>
      </c>
      <c r="F71" s="133">
        <f>+'Cons spec tot e finalizzati'!H71-'Cons spec tot e finalizzati'!I71</f>
        <v>190</v>
      </c>
      <c r="G71" s="133">
        <f>+'Cons spec tot e finalizzati'!J71-'Cons spec tot e finalizzati'!K71</f>
        <v>0</v>
      </c>
      <c r="H71" s="133">
        <f>+'Cons spec tot e finalizzati'!L71-'Cons spec tot e finalizzati'!M71</f>
        <v>0</v>
      </c>
      <c r="I71" s="133">
        <f>+'Cons spec tot e finalizzati'!N71-'Cons spec tot e finalizzati'!O71</f>
        <v>0</v>
      </c>
      <c r="J71" s="133">
        <f>+'Cons spec tot e finalizzati'!P71-'Cons spec tot e finalizzati'!Q71</f>
        <v>0</v>
      </c>
      <c r="K71" s="133">
        <f>+'Cons spec tot e finalizzati'!R71-'Cons spec tot e finalizzati'!S71</f>
        <v>0</v>
      </c>
      <c r="L71" s="133">
        <f>+'Cons spec tot e finalizzati'!T71-'Cons spec tot e finalizzati'!U71</f>
        <v>0</v>
      </c>
      <c r="M71" s="133">
        <f>+'Cons spec tot e finalizzati'!V71-'Cons spec tot e finalizzati'!W71</f>
        <v>0</v>
      </c>
    </row>
    <row r="72" spans="1:13" s="125" customFormat="1" ht="8.25">
      <c r="A72" s="135"/>
      <c r="B72" s="136"/>
      <c r="C72" s="137" t="s">
        <v>13</v>
      </c>
      <c r="D72" s="138">
        <f>+'Cons spec tot e finalizzati'!D72-'Cons spec tot e finalizzati'!E72</f>
        <v>1515</v>
      </c>
      <c r="E72" s="138">
        <f>+'Cons spec tot e finalizzati'!F72-'Cons spec tot e finalizzati'!G72</f>
        <v>1777</v>
      </c>
      <c r="F72" s="138">
        <f>+'Cons spec tot e finalizzati'!H72-'Cons spec tot e finalizzati'!I72</f>
        <v>1394</v>
      </c>
      <c r="G72" s="138">
        <f>+'Cons spec tot e finalizzati'!J72-'Cons spec tot e finalizzati'!K72</f>
        <v>0</v>
      </c>
      <c r="H72" s="138">
        <f>+'Cons spec tot e finalizzati'!L72-'Cons spec tot e finalizzati'!M72</f>
        <v>0</v>
      </c>
      <c r="I72" s="138">
        <f>+'Cons spec tot e finalizzati'!N72-'Cons spec tot e finalizzati'!O72</f>
        <v>0</v>
      </c>
      <c r="J72" s="138">
        <f>+'Cons spec tot e finalizzati'!P72-'Cons spec tot e finalizzati'!Q72</f>
        <v>0</v>
      </c>
      <c r="K72" s="138">
        <f>+'Cons spec tot e finalizzati'!R72-'Cons spec tot e finalizzati'!S72</f>
        <v>0</v>
      </c>
      <c r="L72" s="138">
        <f>+'Cons spec tot e finalizzati'!T72-'Cons spec tot e finalizzati'!U72</f>
        <v>0</v>
      </c>
      <c r="M72" s="138">
        <f>+'Cons spec tot e finalizzati'!V72-'Cons spec tot e finalizzati'!W72</f>
        <v>0</v>
      </c>
    </row>
    <row r="73" spans="1:13" s="125" customFormat="1" ht="12.75">
      <c r="A73" s="114" t="s">
        <v>118</v>
      </c>
      <c r="B73" s="115"/>
      <c r="C73" s="115"/>
      <c r="D73" s="66">
        <f>+'Cons spec tot e finalizzati'!D73-'Cons spec tot e finalizzati'!E73</f>
        <v>2535</v>
      </c>
      <c r="E73" s="66">
        <f>+'Cons spec tot e finalizzati'!F73-'Cons spec tot e finalizzati'!G73</f>
        <v>3345</v>
      </c>
      <c r="F73" s="66">
        <f>+'Cons spec tot e finalizzati'!H73-'Cons spec tot e finalizzati'!I73</f>
        <v>3101</v>
      </c>
      <c r="G73" s="66">
        <f>+'Cons spec tot e finalizzati'!J73-'Cons spec tot e finalizzati'!K73</f>
        <v>3006</v>
      </c>
      <c r="H73" s="66">
        <f>+'Cons spec tot e finalizzati'!L73-'Cons spec tot e finalizzati'!M73</f>
        <v>4384</v>
      </c>
      <c r="I73" s="66">
        <f>+'Cons spec tot e finalizzati'!N73-'Cons spec tot e finalizzati'!O73</f>
        <v>6668</v>
      </c>
      <c r="J73" s="66">
        <f>+'Cons spec tot e finalizzati'!P73-'Cons spec tot e finalizzati'!Q73</f>
        <v>6523</v>
      </c>
      <c r="K73" s="66">
        <f>+'Cons spec tot e finalizzati'!R73-'Cons spec tot e finalizzati'!S73</f>
        <v>10165</v>
      </c>
      <c r="L73" s="66">
        <f>+'Cons spec tot e finalizzati'!T73-'Cons spec tot e finalizzati'!U73</f>
        <v>11747</v>
      </c>
      <c r="M73" s="66">
        <f>+'Cons spec tot e finalizzati'!V73-'Cons spec tot e finalizzati'!W73</f>
        <v>9254</v>
      </c>
    </row>
    <row r="74" spans="1:13" s="2" customFormat="1" ht="12.75">
      <c r="A74" s="42"/>
      <c r="B74" s="10" t="s">
        <v>26</v>
      </c>
      <c r="C74" s="11"/>
      <c r="D74" s="67">
        <f>+'Cons spec tot e finalizzati'!D74-'Cons spec tot e finalizzati'!E74</f>
        <v>754</v>
      </c>
      <c r="E74" s="67">
        <f>+'Cons spec tot e finalizzati'!F74-'Cons spec tot e finalizzati'!G74</f>
        <v>711</v>
      </c>
      <c r="F74" s="67">
        <f>+'Cons spec tot e finalizzati'!H74-'Cons spec tot e finalizzati'!I74</f>
        <v>1413</v>
      </c>
      <c r="G74" s="52">
        <f>+'Cons spec tot e finalizzati'!J74-'Cons spec tot e finalizzati'!K74</f>
        <v>1010</v>
      </c>
      <c r="H74" s="67">
        <f>+'Cons spec tot e finalizzati'!L74-'Cons spec tot e finalizzati'!M74</f>
        <v>1281</v>
      </c>
      <c r="I74" s="67">
        <f>+'Cons spec tot e finalizzati'!N74-'Cons spec tot e finalizzati'!O74</f>
        <v>1251</v>
      </c>
      <c r="J74" s="67">
        <f>+'Cons spec tot e finalizzati'!P74-'Cons spec tot e finalizzati'!Q74</f>
        <v>1313</v>
      </c>
      <c r="K74" s="67">
        <f>+'Cons spec tot e finalizzati'!R74-'Cons spec tot e finalizzati'!S74</f>
        <v>1063</v>
      </c>
      <c r="L74" s="67">
        <f>+'Cons spec tot e finalizzati'!T74-'Cons spec tot e finalizzati'!U74</f>
        <v>1197</v>
      </c>
      <c r="M74" s="67">
        <f>+'Cons spec tot e finalizzati'!V74-'Cons spec tot e finalizzati'!W74</f>
        <v>812</v>
      </c>
    </row>
    <row r="75" spans="1:13" s="2" customFormat="1" ht="12.75">
      <c r="A75" s="42"/>
      <c r="B75" s="10" t="s">
        <v>4</v>
      </c>
      <c r="C75" s="11"/>
      <c r="D75" s="43">
        <f>+'Cons spec tot e finalizzati'!D75-'Cons spec tot e finalizzati'!E75</f>
        <v>160</v>
      </c>
      <c r="E75" s="43">
        <f>+'Cons spec tot e finalizzati'!F75-'Cons spec tot e finalizzati'!G75</f>
        <v>124</v>
      </c>
      <c r="F75" s="43">
        <f>+'Cons spec tot e finalizzati'!H75-'Cons spec tot e finalizzati'!I75</f>
        <v>115</v>
      </c>
      <c r="G75" s="52">
        <f>+'Cons spec tot e finalizzati'!J75-'Cons spec tot e finalizzati'!K75</f>
        <v>92</v>
      </c>
      <c r="H75" s="43">
        <f>+'Cons spec tot e finalizzati'!L75-'Cons spec tot e finalizzati'!M75</f>
        <v>87</v>
      </c>
      <c r="I75" s="43">
        <f>+'Cons spec tot e finalizzati'!N75-'Cons spec tot e finalizzati'!O75</f>
        <v>90</v>
      </c>
      <c r="J75" s="43">
        <f>+'Cons spec tot e finalizzati'!P75-'Cons spec tot e finalizzati'!Q75</f>
        <v>89</v>
      </c>
      <c r="K75" s="43">
        <f>+'Cons spec tot e finalizzati'!R75-'Cons spec tot e finalizzati'!S75</f>
        <v>83</v>
      </c>
      <c r="L75" s="43">
        <f>+'Cons spec tot e finalizzati'!T75-'Cons spec tot e finalizzati'!U75</f>
        <v>90</v>
      </c>
      <c r="M75" s="43">
        <f>+'Cons spec tot e finalizzati'!V75-'Cons spec tot e finalizzati'!W75</f>
        <v>106</v>
      </c>
    </row>
    <row r="76" spans="1:13" s="2" customFormat="1" ht="12.75">
      <c r="A76" s="14"/>
      <c r="B76" s="10" t="s">
        <v>107</v>
      </c>
      <c r="C76" s="11"/>
      <c r="D76" s="52">
        <f>+'Cons spec tot e finalizzati'!D76-'Cons spec tot e finalizzati'!E76</f>
        <v>0</v>
      </c>
      <c r="E76" s="52">
        <f>+'Cons spec tot e finalizzati'!F76-'Cons spec tot e finalizzati'!G76</f>
        <v>0</v>
      </c>
      <c r="F76" s="52">
        <f>+'Cons spec tot e finalizzati'!H76-'Cons spec tot e finalizzati'!I76</f>
        <v>0</v>
      </c>
      <c r="G76" s="52">
        <f>+'Cons spec tot e finalizzati'!J76-'Cons spec tot e finalizzati'!K76</f>
        <v>142</v>
      </c>
      <c r="H76" s="52">
        <f>+'Cons spec tot e finalizzati'!L76-'Cons spec tot e finalizzati'!M76</f>
        <v>77</v>
      </c>
      <c r="I76" s="52">
        <f>+'Cons spec tot e finalizzati'!N76-'Cons spec tot e finalizzati'!O76</f>
        <v>120</v>
      </c>
      <c r="J76" s="52">
        <f>+'Cons spec tot e finalizzati'!P76-'Cons spec tot e finalizzati'!Q76</f>
        <v>130</v>
      </c>
      <c r="K76" s="52">
        <f>+'Cons spec tot e finalizzati'!R76-'Cons spec tot e finalizzati'!S76</f>
        <v>55</v>
      </c>
      <c r="L76" s="52">
        <f>+'Cons spec tot e finalizzati'!T76-'Cons spec tot e finalizzati'!U76</f>
        <v>80</v>
      </c>
      <c r="M76" s="52">
        <f>+'Cons spec tot e finalizzati'!V76-'Cons spec tot e finalizzati'!W76</f>
        <v>60</v>
      </c>
    </row>
    <row r="77" spans="1:13" s="2" customFormat="1" ht="12.75">
      <c r="A77" s="25"/>
      <c r="B77" s="22" t="s">
        <v>108</v>
      </c>
      <c r="C77" s="26"/>
      <c r="D77" s="43">
        <f>+'Cons spec tot e finalizzati'!D77-'Cons spec tot e finalizzati'!E77</f>
        <v>1163</v>
      </c>
      <c r="E77" s="43">
        <f>+'Cons spec tot e finalizzati'!F77-'Cons spec tot e finalizzati'!G77</f>
        <v>1963</v>
      </c>
      <c r="F77" s="43">
        <f>+'Cons spec tot e finalizzati'!H77-'Cons spec tot e finalizzati'!I77</f>
        <v>659</v>
      </c>
      <c r="G77" s="52">
        <f>+'Cons spec tot e finalizzati'!J77-'Cons spec tot e finalizzati'!K77</f>
        <v>1085</v>
      </c>
      <c r="H77" s="43">
        <f>+'Cons spec tot e finalizzati'!L77-'Cons spec tot e finalizzati'!M77</f>
        <v>2072</v>
      </c>
      <c r="I77" s="43">
        <f>+'Cons spec tot e finalizzati'!N77-'Cons spec tot e finalizzati'!O77</f>
        <v>4200</v>
      </c>
      <c r="J77" s="43">
        <f>+'Cons spec tot e finalizzati'!P77-'Cons spec tot e finalizzati'!Q77</f>
        <v>3789</v>
      </c>
      <c r="K77" s="43">
        <f>+'Cons spec tot e finalizzati'!R77-'Cons spec tot e finalizzati'!S77</f>
        <v>7963</v>
      </c>
      <c r="L77" s="43">
        <f>+'Cons spec tot e finalizzati'!T77-'Cons spec tot e finalizzati'!U77</f>
        <v>9378</v>
      </c>
      <c r="M77" s="43">
        <f>+'Cons spec tot e finalizzati'!V77-'Cons spec tot e finalizzati'!W77</f>
        <v>7470</v>
      </c>
    </row>
    <row r="78" spans="1:13" s="2" customFormat="1" ht="12.75">
      <c r="A78" s="57"/>
      <c r="B78" s="35" t="s">
        <v>109</v>
      </c>
      <c r="C78" s="33"/>
      <c r="D78" s="43">
        <f>+'Cons spec tot e finalizzati'!D78-'Cons spec tot e finalizzati'!E78</f>
        <v>459</v>
      </c>
      <c r="E78" s="43">
        <f>+'Cons spec tot e finalizzati'!F78-'Cons spec tot e finalizzati'!G78</f>
        <v>547</v>
      </c>
      <c r="F78" s="43">
        <f>+'Cons spec tot e finalizzati'!H78-'Cons spec tot e finalizzati'!I78</f>
        <v>914</v>
      </c>
      <c r="G78" s="52">
        <f>+'Cons spec tot e finalizzati'!J78-'Cons spec tot e finalizzati'!K78</f>
        <v>677</v>
      </c>
      <c r="H78" s="43">
        <f>+'Cons spec tot e finalizzati'!L78-'Cons spec tot e finalizzati'!M78</f>
        <v>867</v>
      </c>
      <c r="I78" s="43">
        <f>+'Cons spec tot e finalizzati'!N78-'Cons spec tot e finalizzati'!O78</f>
        <v>1007</v>
      </c>
      <c r="J78" s="43">
        <f>+'Cons spec tot e finalizzati'!P78-'Cons spec tot e finalizzati'!Q78</f>
        <v>1202</v>
      </c>
      <c r="K78" s="43">
        <f>+'Cons spec tot e finalizzati'!R78-'Cons spec tot e finalizzati'!S78</f>
        <v>1001</v>
      </c>
      <c r="L78" s="43">
        <f>+'Cons spec tot e finalizzati'!T78-'Cons spec tot e finalizzati'!U78</f>
        <v>1002</v>
      </c>
      <c r="M78" s="43">
        <f>+'Cons spec tot e finalizzati'!V78-'Cons spec tot e finalizzati'!W78</f>
        <v>806</v>
      </c>
    </row>
    <row r="79" spans="1:13" s="2" customFormat="1" ht="12.75">
      <c r="A79" s="121" t="s">
        <v>60</v>
      </c>
      <c r="B79" s="115"/>
      <c r="C79" s="115"/>
      <c r="D79" s="65">
        <f>+'Cons spec tot e finalizzati'!D79-'Cons spec tot e finalizzati'!E79</f>
        <v>784</v>
      </c>
      <c r="E79" s="65">
        <f>+'Cons spec tot e finalizzati'!F79-'Cons spec tot e finalizzati'!G79</f>
        <v>954</v>
      </c>
      <c r="F79" s="79">
        <f>+'Cons spec tot e finalizzati'!H79-'Cons spec tot e finalizzati'!I79</f>
        <v>1304</v>
      </c>
      <c r="G79" s="79">
        <f>+'Cons spec tot e finalizzati'!J79-'Cons spec tot e finalizzati'!K79</f>
        <v>1852</v>
      </c>
      <c r="H79" s="65">
        <f>+'Cons spec tot e finalizzati'!L79-'Cons spec tot e finalizzati'!M79</f>
        <v>3046</v>
      </c>
      <c r="I79" s="65">
        <f>+'Cons spec tot e finalizzati'!N79-'Cons spec tot e finalizzati'!O79</f>
        <v>4516</v>
      </c>
      <c r="J79" s="65">
        <f>+'Cons spec tot e finalizzati'!P79-'Cons spec tot e finalizzati'!Q79</f>
        <v>4841</v>
      </c>
      <c r="K79" s="65">
        <f>+'Cons spec tot e finalizzati'!R79-'Cons spec tot e finalizzati'!S79</f>
        <v>2727</v>
      </c>
      <c r="L79" s="65">
        <f>+'Cons spec tot e finalizzati'!T79-'Cons spec tot e finalizzati'!U79</f>
        <v>3989</v>
      </c>
      <c r="M79" s="65">
        <f>+'Cons spec tot e finalizzati'!V79-'Cons spec tot e finalizzati'!W79</f>
        <v>5750</v>
      </c>
    </row>
    <row r="80" spans="1:13" s="2" customFormat="1" ht="12.75">
      <c r="A80" s="121" t="s">
        <v>116</v>
      </c>
      <c r="B80" s="115"/>
      <c r="C80" s="115"/>
      <c r="D80" s="65">
        <f>+'Cons spec tot e finalizzati'!D80-'Cons spec tot e finalizzati'!E80</f>
        <v>172</v>
      </c>
      <c r="E80" s="65">
        <f>+'Cons spec tot e finalizzati'!F80-'Cons spec tot e finalizzati'!G80</f>
        <v>172</v>
      </c>
      <c r="F80" s="79">
        <f>+'Cons spec tot e finalizzati'!H80-'Cons spec tot e finalizzati'!I80</f>
        <v>131</v>
      </c>
      <c r="G80" s="79">
        <f>+'Cons spec tot e finalizzati'!J80-'Cons spec tot e finalizzati'!K80</f>
        <v>189</v>
      </c>
      <c r="H80" s="65">
        <f>+'Cons spec tot e finalizzati'!L80-'Cons spec tot e finalizzati'!M80</f>
        <v>240</v>
      </c>
      <c r="I80" s="65">
        <f>+'Cons spec tot e finalizzati'!N80-'Cons spec tot e finalizzati'!O80</f>
        <v>264</v>
      </c>
      <c r="J80" s="65">
        <f>+'Cons spec tot e finalizzati'!P80-'Cons spec tot e finalizzati'!Q80</f>
        <v>185</v>
      </c>
      <c r="K80" s="65">
        <f>+'Cons spec tot e finalizzati'!R80-'Cons spec tot e finalizzati'!S80</f>
        <v>126</v>
      </c>
      <c r="L80" s="65">
        <f>+'Cons spec tot e finalizzati'!T80-'Cons spec tot e finalizzati'!U80</f>
        <v>129</v>
      </c>
      <c r="M80" s="65">
        <f>+'Cons spec tot e finalizzati'!V80-'Cons spec tot e finalizzati'!W80</f>
        <v>17</v>
      </c>
    </row>
    <row r="81" spans="1:13" s="2" customFormat="1" ht="12.75">
      <c r="A81" s="114" t="s">
        <v>150</v>
      </c>
      <c r="B81" s="115"/>
      <c r="C81" s="115"/>
      <c r="D81" s="66">
        <f>+'Cons spec tot e finalizzati'!D81-'Cons spec tot e finalizzati'!E81</f>
        <v>2862</v>
      </c>
      <c r="E81" s="66">
        <f>+'Cons spec tot e finalizzati'!F81-'Cons spec tot e finalizzati'!G81</f>
        <v>3426</v>
      </c>
      <c r="F81" s="66">
        <f>+'Cons spec tot e finalizzati'!H81-'Cons spec tot e finalizzati'!I81</f>
        <v>4543</v>
      </c>
      <c r="G81" s="66">
        <f>+'Cons spec tot e finalizzati'!J81-'Cons spec tot e finalizzati'!K81</f>
        <v>2982</v>
      </c>
      <c r="H81" s="66">
        <f>+'Cons spec tot e finalizzati'!L81-'Cons spec tot e finalizzati'!M81</f>
        <v>1583</v>
      </c>
      <c r="I81" s="66">
        <f>+'Cons spec tot e finalizzati'!N81-'Cons spec tot e finalizzati'!O81</f>
        <v>1425</v>
      </c>
      <c r="J81" s="66">
        <f>+'Cons spec tot e finalizzati'!P81-'Cons spec tot e finalizzati'!Q81</f>
        <v>1266</v>
      </c>
      <c r="K81" s="66">
        <f>+'Cons spec tot e finalizzati'!R81-'Cons spec tot e finalizzati'!S81</f>
        <v>928</v>
      </c>
      <c r="L81" s="66">
        <f>+'Cons spec tot e finalizzati'!T81-'Cons spec tot e finalizzati'!U81</f>
        <v>678</v>
      </c>
      <c r="M81" s="66">
        <f>+'Cons spec tot e finalizzati'!V81-'Cons spec tot e finalizzati'!W81</f>
        <v>964</v>
      </c>
    </row>
    <row r="82" spans="1:13" s="2" customFormat="1" ht="12.75">
      <c r="A82" s="27"/>
      <c r="B82" s="21" t="s">
        <v>26</v>
      </c>
      <c r="D82" s="43">
        <f>+'Cons spec tot e finalizzati'!D82-'Cons spec tot e finalizzati'!E82</f>
        <v>395</v>
      </c>
      <c r="E82" s="43">
        <f>+'Cons spec tot e finalizzati'!F82-'Cons spec tot e finalizzati'!G82</f>
        <v>587</v>
      </c>
      <c r="F82" s="43">
        <f>+'Cons spec tot e finalizzati'!H82-'Cons spec tot e finalizzati'!I82</f>
        <v>910</v>
      </c>
      <c r="G82" s="52">
        <f>+'Cons spec tot e finalizzati'!J82-'Cons spec tot e finalizzati'!K82</f>
        <v>532</v>
      </c>
      <c r="H82" s="49">
        <f>+'Cons spec tot e finalizzati'!L82-'Cons spec tot e finalizzati'!M82</f>
        <v>481</v>
      </c>
      <c r="I82" s="49">
        <f>+'Cons spec tot e finalizzati'!N82-'Cons spec tot e finalizzati'!O82</f>
        <v>406</v>
      </c>
      <c r="J82" s="49">
        <f>+'Cons spec tot e finalizzati'!P82-'Cons spec tot e finalizzati'!Q82</f>
        <v>322</v>
      </c>
      <c r="K82" s="49">
        <f>+'Cons spec tot e finalizzati'!R82-'Cons spec tot e finalizzati'!S82</f>
        <v>384</v>
      </c>
      <c r="L82" s="49">
        <f>+'Cons spec tot e finalizzati'!T82-'Cons spec tot e finalizzati'!U82</f>
        <v>261</v>
      </c>
      <c r="M82" s="49">
        <f>+'Cons spec tot e finalizzati'!V82-'Cons spec tot e finalizzati'!W82</f>
        <v>508</v>
      </c>
    </row>
    <row r="83" spans="1:13" s="2" customFormat="1" ht="12.75">
      <c r="A83" s="27"/>
      <c r="B83" s="21" t="s">
        <v>172</v>
      </c>
      <c r="D83" s="43">
        <f>+'Cons spec tot e finalizzati'!D83-'Cons spec tot e finalizzati'!E83</f>
        <v>0</v>
      </c>
      <c r="E83" s="43">
        <f>+'Cons spec tot e finalizzati'!F83-'Cons spec tot e finalizzati'!G83</f>
        <v>0</v>
      </c>
      <c r="F83" s="43">
        <f>+'Cons spec tot e finalizzati'!H83-'Cons spec tot e finalizzati'!I83</f>
        <v>0</v>
      </c>
      <c r="G83" s="52">
        <f>+'Cons spec tot e finalizzati'!J83-'Cons spec tot e finalizzati'!K83</f>
        <v>0</v>
      </c>
      <c r="H83" s="49">
        <f>+'Cons spec tot e finalizzati'!L83-'Cons spec tot e finalizzati'!M83</f>
        <v>94</v>
      </c>
      <c r="I83" s="49">
        <f>+'Cons spec tot e finalizzati'!N83-'Cons spec tot e finalizzati'!O83</f>
        <v>100</v>
      </c>
      <c r="J83" s="49">
        <f>+'Cons spec tot e finalizzati'!P83-'Cons spec tot e finalizzati'!Q83</f>
        <v>75</v>
      </c>
      <c r="K83" s="49">
        <f>+'Cons spec tot e finalizzati'!R83-'Cons spec tot e finalizzati'!S83</f>
        <v>0</v>
      </c>
      <c r="L83" s="49">
        <f>+'Cons spec tot e finalizzati'!T83-'Cons spec tot e finalizzati'!U83</f>
        <v>0</v>
      </c>
      <c r="M83" s="49">
        <f>+'Cons spec tot e finalizzati'!V83-'Cons spec tot e finalizzati'!W83</f>
        <v>0</v>
      </c>
    </row>
    <row r="84" spans="1:13" s="2" customFormat="1" ht="12.75">
      <c r="A84" s="27"/>
      <c r="B84" s="21" t="s">
        <v>173</v>
      </c>
      <c r="D84" s="43">
        <f>+'Cons spec tot e finalizzati'!D84-'Cons spec tot e finalizzati'!E84</f>
        <v>0</v>
      </c>
      <c r="E84" s="43">
        <f>+'Cons spec tot e finalizzati'!F84-'Cons spec tot e finalizzati'!G84</f>
        <v>0</v>
      </c>
      <c r="F84" s="43">
        <f>+'Cons spec tot e finalizzati'!H84-'Cons spec tot e finalizzati'!I84</f>
        <v>0</v>
      </c>
      <c r="G84" s="52">
        <f>+'Cons spec tot e finalizzati'!J84-'Cons spec tot e finalizzati'!K84</f>
        <v>0</v>
      </c>
      <c r="H84" s="43">
        <f>+'Cons spec tot e finalizzati'!L84-'Cons spec tot e finalizzati'!M84</f>
        <v>363</v>
      </c>
      <c r="I84" s="43">
        <f>+'Cons spec tot e finalizzati'!N84-'Cons spec tot e finalizzati'!O84</f>
        <v>422</v>
      </c>
      <c r="J84" s="43">
        <f>+'Cons spec tot e finalizzati'!P84-'Cons spec tot e finalizzati'!Q84</f>
        <v>346</v>
      </c>
      <c r="K84" s="43">
        <f>+'Cons spec tot e finalizzati'!R84-'Cons spec tot e finalizzati'!S84</f>
        <v>197</v>
      </c>
      <c r="L84" s="43">
        <f>+'Cons spec tot e finalizzati'!T84-'Cons spec tot e finalizzati'!U84</f>
        <v>101</v>
      </c>
      <c r="M84" s="43">
        <f>+'Cons spec tot e finalizzati'!V84-'Cons spec tot e finalizzati'!W84</f>
        <v>6</v>
      </c>
    </row>
    <row r="85" spans="1:13" s="2" customFormat="1" ht="12.75">
      <c r="A85" s="57"/>
      <c r="B85" s="35" t="s">
        <v>170</v>
      </c>
      <c r="C85" s="33"/>
      <c r="D85" s="69">
        <f>+'Cons spec tot e finalizzati'!D85-'Cons spec tot e finalizzati'!E85</f>
        <v>2467</v>
      </c>
      <c r="E85" s="69">
        <f>+'Cons spec tot e finalizzati'!F85-'Cons spec tot e finalizzati'!G85</f>
        <v>2839</v>
      </c>
      <c r="F85" s="69">
        <f>+'Cons spec tot e finalizzati'!H85-'Cons spec tot e finalizzati'!I85</f>
        <v>3633</v>
      </c>
      <c r="G85" s="64">
        <f>+'Cons spec tot e finalizzati'!J85-'Cons spec tot e finalizzati'!K85</f>
        <v>2450</v>
      </c>
      <c r="H85" s="69">
        <f>+'Cons spec tot e finalizzati'!L85-'Cons spec tot e finalizzati'!M85</f>
        <v>645</v>
      </c>
      <c r="I85" s="69">
        <f>+'Cons spec tot e finalizzati'!N85-'Cons spec tot e finalizzati'!O85</f>
        <v>497</v>
      </c>
      <c r="J85" s="69">
        <f>+'Cons spec tot e finalizzati'!P85-'Cons spec tot e finalizzati'!Q85</f>
        <v>523</v>
      </c>
      <c r="K85" s="69">
        <f>+'Cons spec tot e finalizzati'!R85-'Cons spec tot e finalizzati'!S85</f>
        <v>347</v>
      </c>
      <c r="L85" s="69">
        <f>+'Cons spec tot e finalizzati'!T85-'Cons spec tot e finalizzati'!U85</f>
        <v>316</v>
      </c>
      <c r="M85" s="69">
        <f>+'Cons spec tot e finalizzati'!V85-'Cons spec tot e finalizzati'!W85</f>
        <v>450</v>
      </c>
    </row>
    <row r="86" spans="1:13" s="2" customFormat="1" ht="12.75">
      <c r="A86" s="114" t="s">
        <v>151</v>
      </c>
      <c r="B86" s="115"/>
      <c r="C86" s="115"/>
      <c r="D86" s="66">
        <f>+'Cons spec tot e finalizzati'!D86-'Cons spec tot e finalizzati'!E86</f>
        <v>1937</v>
      </c>
      <c r="E86" s="66">
        <f>+'Cons spec tot e finalizzati'!F86-'Cons spec tot e finalizzati'!G86</f>
        <v>2164</v>
      </c>
      <c r="F86" s="66">
        <f>+'Cons spec tot e finalizzati'!H86-'Cons spec tot e finalizzati'!I86</f>
        <v>2975</v>
      </c>
      <c r="G86" s="66">
        <f>+'Cons spec tot e finalizzati'!J86-'Cons spec tot e finalizzati'!K86</f>
        <v>4289</v>
      </c>
      <c r="H86" s="66">
        <f>+'Cons spec tot e finalizzati'!L86-'Cons spec tot e finalizzati'!M86</f>
        <v>3445</v>
      </c>
      <c r="I86" s="66">
        <f>+'Cons spec tot e finalizzati'!N86-'Cons spec tot e finalizzati'!O86</f>
        <v>1924</v>
      </c>
      <c r="J86" s="66">
        <f>+'Cons spec tot e finalizzati'!P86-'Cons spec tot e finalizzati'!Q86</f>
        <v>1691</v>
      </c>
      <c r="K86" s="66">
        <f>+'Cons spec tot e finalizzati'!R86-'Cons spec tot e finalizzati'!S86</f>
        <v>324</v>
      </c>
      <c r="L86" s="66">
        <f>+'Cons spec tot e finalizzati'!T86-'Cons spec tot e finalizzati'!U86</f>
        <v>796</v>
      </c>
      <c r="M86" s="66">
        <f>+'Cons spec tot e finalizzati'!V86-'Cons spec tot e finalizzati'!W86</f>
        <v>755</v>
      </c>
    </row>
    <row r="87" spans="1:13" s="32" customFormat="1" ht="12.75">
      <c r="A87" s="27"/>
      <c r="B87" s="21" t="s">
        <v>26</v>
      </c>
      <c r="C87" s="2"/>
      <c r="D87" s="49">
        <f>+'Cons spec tot e finalizzati'!D87-'Cons spec tot e finalizzati'!E87</f>
        <v>183</v>
      </c>
      <c r="E87" s="49">
        <f>+'Cons spec tot e finalizzati'!F87-'Cons spec tot e finalizzati'!G87</f>
        <v>519</v>
      </c>
      <c r="F87" s="44">
        <f>+'Cons spec tot e finalizzati'!H87-'Cons spec tot e finalizzati'!I87</f>
        <v>343</v>
      </c>
      <c r="G87" s="50">
        <f>+'Cons spec tot e finalizzati'!J87-'Cons spec tot e finalizzati'!K87</f>
        <v>234</v>
      </c>
      <c r="H87" s="44">
        <f>+'Cons spec tot e finalizzati'!L87-'Cons spec tot e finalizzati'!M87</f>
        <v>99</v>
      </c>
      <c r="I87" s="43">
        <f>+'Cons spec tot e finalizzati'!N87-'Cons spec tot e finalizzati'!O87</f>
        <v>110</v>
      </c>
      <c r="J87" s="44">
        <f>+'Cons spec tot e finalizzati'!P87-'Cons spec tot e finalizzati'!Q87</f>
        <v>48</v>
      </c>
      <c r="K87" s="44">
        <f>+'Cons spec tot e finalizzati'!R87-'Cons spec tot e finalizzati'!S87</f>
        <v>54</v>
      </c>
      <c r="L87" s="44">
        <f>+'Cons spec tot e finalizzati'!T87-'Cons spec tot e finalizzati'!U87</f>
        <v>33</v>
      </c>
      <c r="M87" s="44">
        <f>+'Cons spec tot e finalizzati'!V87-'Cons spec tot e finalizzati'!W87</f>
        <v>21</v>
      </c>
    </row>
    <row r="88" spans="1:13" s="2" customFormat="1" ht="12.75">
      <c r="A88" s="27"/>
      <c r="B88" s="22" t="s">
        <v>64</v>
      </c>
      <c r="D88" s="43">
        <f>+'Cons spec tot e finalizzati'!D88-'Cons spec tot e finalizzati'!E88</f>
        <v>749</v>
      </c>
      <c r="E88" s="43">
        <f>+'Cons spec tot e finalizzati'!F88-'Cons spec tot e finalizzati'!G88</f>
        <v>693</v>
      </c>
      <c r="F88" s="43">
        <f>+'Cons spec tot e finalizzati'!H88-'Cons spec tot e finalizzati'!I88</f>
        <v>733</v>
      </c>
      <c r="G88" s="52">
        <f>+'Cons spec tot e finalizzati'!J88-'Cons spec tot e finalizzati'!K88</f>
        <v>1671</v>
      </c>
      <c r="H88" s="49">
        <f>+'Cons spec tot e finalizzati'!L88-'Cons spec tot e finalizzati'!M88</f>
        <v>1268</v>
      </c>
      <c r="I88" s="49">
        <f>+'Cons spec tot e finalizzati'!N88-'Cons spec tot e finalizzati'!O88</f>
        <v>1054</v>
      </c>
      <c r="J88" s="49">
        <f>+'Cons spec tot e finalizzati'!P88-'Cons spec tot e finalizzati'!Q88</f>
        <v>964</v>
      </c>
      <c r="K88" s="49">
        <f>+'Cons spec tot e finalizzati'!R88-'Cons spec tot e finalizzati'!S88</f>
        <v>102</v>
      </c>
      <c r="L88" s="49">
        <f>+'Cons spec tot e finalizzati'!T88-'Cons spec tot e finalizzati'!U88</f>
        <v>502</v>
      </c>
      <c r="M88" s="49">
        <f>+'Cons spec tot e finalizzati'!V88-'Cons spec tot e finalizzati'!W88</f>
        <v>237</v>
      </c>
    </row>
    <row r="89" spans="1:13" s="2" customFormat="1" ht="12.75">
      <c r="A89" s="27"/>
      <c r="B89" s="21" t="s">
        <v>73</v>
      </c>
      <c r="D89" s="43">
        <f>+'Cons spec tot e finalizzati'!D89-'Cons spec tot e finalizzati'!E89</f>
        <v>201</v>
      </c>
      <c r="E89" s="43">
        <f>+'Cons spec tot e finalizzati'!F89-'Cons spec tot e finalizzati'!G89</f>
        <v>178</v>
      </c>
      <c r="F89" s="43">
        <f>+'Cons spec tot e finalizzati'!H89-'Cons spec tot e finalizzati'!I89</f>
        <v>203</v>
      </c>
      <c r="G89" s="52">
        <f>+'Cons spec tot e finalizzati'!J89-'Cons spec tot e finalizzati'!K89</f>
        <v>116</v>
      </c>
      <c r="H89" s="49">
        <f>+'Cons spec tot e finalizzati'!L89-'Cons spec tot e finalizzati'!M89</f>
        <v>147</v>
      </c>
      <c r="I89" s="49">
        <f>+'Cons spec tot e finalizzati'!N89-'Cons spec tot e finalizzati'!O89</f>
        <v>92</v>
      </c>
      <c r="J89" s="49">
        <f>+'Cons spec tot e finalizzati'!P89-'Cons spec tot e finalizzati'!Q89</f>
        <v>86</v>
      </c>
      <c r="K89" s="49">
        <f>+'Cons spec tot e finalizzati'!R89-'Cons spec tot e finalizzati'!S89</f>
        <v>7</v>
      </c>
      <c r="L89" s="49">
        <f>+'Cons spec tot e finalizzati'!T89-'Cons spec tot e finalizzati'!U89</f>
        <v>48</v>
      </c>
      <c r="M89" s="49">
        <f>+'Cons spec tot e finalizzati'!V89-'Cons spec tot e finalizzati'!W89</f>
        <v>152</v>
      </c>
    </row>
    <row r="90" spans="1:13" s="2" customFormat="1" ht="12.75">
      <c r="A90" s="27"/>
      <c r="B90" s="21" t="s">
        <v>74</v>
      </c>
      <c r="D90" s="43">
        <f>+'Cons spec tot e finalizzati'!D90-'Cons spec tot e finalizzati'!E90</f>
        <v>345</v>
      </c>
      <c r="E90" s="49">
        <f>+'Cons spec tot e finalizzati'!F90-'Cons spec tot e finalizzati'!G90</f>
        <v>350</v>
      </c>
      <c r="F90" s="43">
        <f>+'Cons spec tot e finalizzati'!H90-'Cons spec tot e finalizzati'!I90</f>
        <v>1269</v>
      </c>
      <c r="G90" s="52">
        <f>+'Cons spec tot e finalizzati'!J90-'Cons spec tot e finalizzati'!K90</f>
        <v>1557</v>
      </c>
      <c r="H90" s="43">
        <f>+'Cons spec tot e finalizzati'!L90-'Cons spec tot e finalizzati'!M90</f>
        <v>1180</v>
      </c>
      <c r="I90" s="43">
        <f>+'Cons spec tot e finalizzati'!N90-'Cons spec tot e finalizzati'!O90</f>
        <v>25</v>
      </c>
      <c r="J90" s="43">
        <f>+'Cons spec tot e finalizzati'!P90-'Cons spec tot e finalizzati'!Q90</f>
        <v>22</v>
      </c>
      <c r="K90" s="43">
        <f>+'Cons spec tot e finalizzati'!R90-'Cons spec tot e finalizzati'!S90</f>
        <v>22</v>
      </c>
      <c r="L90" s="43">
        <f>+'Cons spec tot e finalizzati'!T90-'Cons spec tot e finalizzati'!U90</f>
        <v>23</v>
      </c>
      <c r="M90" s="43">
        <f>+'Cons spec tot e finalizzati'!V90-'Cons spec tot e finalizzati'!W90</f>
        <v>42</v>
      </c>
    </row>
    <row r="91" spans="1:13" s="2" customFormat="1" ht="12.75">
      <c r="A91" s="27"/>
      <c r="B91" s="21" t="s">
        <v>80</v>
      </c>
      <c r="D91" s="43">
        <f>+'Cons spec tot e finalizzati'!D91-'Cons spec tot e finalizzati'!E91</f>
        <v>402</v>
      </c>
      <c r="E91" s="49">
        <f>+'Cons spec tot e finalizzati'!F91-'Cons spec tot e finalizzati'!G91</f>
        <v>424</v>
      </c>
      <c r="F91" s="43">
        <f>+'Cons spec tot e finalizzati'!H91-'Cons spec tot e finalizzati'!I91</f>
        <v>427</v>
      </c>
      <c r="G91" s="52">
        <f>+'Cons spec tot e finalizzati'!J91-'Cons spec tot e finalizzati'!K91</f>
        <v>711</v>
      </c>
      <c r="H91" s="43">
        <f>+'Cons spec tot e finalizzati'!L91-'Cons spec tot e finalizzati'!M91</f>
        <v>669</v>
      </c>
      <c r="I91" s="43">
        <f>+'Cons spec tot e finalizzati'!N91-'Cons spec tot e finalizzati'!O91</f>
        <v>557</v>
      </c>
      <c r="J91" s="43">
        <f>+'Cons spec tot e finalizzati'!P91-'Cons spec tot e finalizzati'!Q91</f>
        <v>485</v>
      </c>
      <c r="K91" s="43">
        <f>+'Cons spec tot e finalizzati'!R91-'Cons spec tot e finalizzati'!S91</f>
        <v>107</v>
      </c>
      <c r="L91" s="43">
        <f>+'Cons spec tot e finalizzati'!T91-'Cons spec tot e finalizzati'!U91</f>
        <v>170</v>
      </c>
      <c r="M91" s="43">
        <f>+'Cons spec tot e finalizzati'!V91-'Cons spec tot e finalizzati'!W91</f>
        <v>192</v>
      </c>
    </row>
    <row r="92" spans="1:13" s="2" customFormat="1" ht="12.75">
      <c r="A92" s="27"/>
      <c r="B92" s="21" t="s">
        <v>152</v>
      </c>
      <c r="D92" s="43">
        <f>+'Cons spec tot e finalizzati'!D92-'Cons spec tot e finalizzati'!E92</f>
        <v>0</v>
      </c>
      <c r="E92" s="49">
        <f>+'Cons spec tot e finalizzati'!F92-'Cons spec tot e finalizzati'!G92</f>
        <v>0</v>
      </c>
      <c r="F92" s="43">
        <f>+'Cons spec tot e finalizzati'!H92-'Cons spec tot e finalizzati'!I92</f>
        <v>0</v>
      </c>
      <c r="G92" s="52">
        <f>+'Cons spec tot e finalizzati'!J92-'Cons spec tot e finalizzati'!K92</f>
        <v>0</v>
      </c>
      <c r="H92" s="43">
        <f>+'Cons spec tot e finalizzati'!L92-'Cons spec tot e finalizzati'!M92</f>
        <v>82</v>
      </c>
      <c r="I92" s="43">
        <f>+'Cons spec tot e finalizzati'!N92-'Cons spec tot e finalizzati'!O92</f>
        <v>86</v>
      </c>
      <c r="J92" s="43">
        <f>+'Cons spec tot e finalizzati'!P92-'Cons spec tot e finalizzati'!Q92</f>
        <v>86</v>
      </c>
      <c r="K92" s="43">
        <f>+'Cons spec tot e finalizzati'!R92-'Cons spec tot e finalizzati'!S92</f>
        <v>32</v>
      </c>
      <c r="L92" s="43">
        <f>+'Cons spec tot e finalizzati'!T92-'Cons spec tot e finalizzati'!U92</f>
        <v>20</v>
      </c>
      <c r="M92" s="43">
        <f>+'Cons spec tot e finalizzati'!V92-'Cons spec tot e finalizzati'!W92</f>
        <v>111</v>
      </c>
    </row>
    <row r="93" spans="1:13" s="32" customFormat="1" ht="12.75">
      <c r="A93" s="156"/>
      <c r="B93" s="54" t="s">
        <v>65</v>
      </c>
      <c r="C93" s="157"/>
      <c r="D93" s="97">
        <f>+'Cons spec tot e finalizzati'!D93-'Cons spec tot e finalizzati'!E93</f>
        <v>57</v>
      </c>
      <c r="E93" s="97">
        <f>+'Cons spec tot e finalizzati'!F93-'Cons spec tot e finalizzati'!G93</f>
        <v>0</v>
      </c>
      <c r="F93" s="97">
        <f>+'Cons spec tot e finalizzati'!H93-'Cons spec tot e finalizzati'!I93</f>
        <v>0</v>
      </c>
      <c r="G93" s="99">
        <f>+'Cons spec tot e finalizzati'!J93-'Cons spec tot e finalizzati'!K93</f>
        <v>0</v>
      </c>
      <c r="H93" s="97">
        <f>+'Cons spec tot e finalizzati'!L93-'Cons spec tot e finalizzati'!M93</f>
        <v>0</v>
      </c>
      <c r="I93" s="97">
        <f>+'Cons spec tot e finalizzati'!N93-'Cons spec tot e finalizzati'!O93</f>
        <v>0</v>
      </c>
      <c r="J93" s="97">
        <f>+'Cons spec tot e finalizzati'!P93-'Cons spec tot e finalizzati'!Q93</f>
        <v>0</v>
      </c>
      <c r="K93" s="97">
        <f>+'Cons spec tot e finalizzati'!R93-'Cons spec tot e finalizzati'!S93</f>
        <v>0</v>
      </c>
      <c r="L93" s="97">
        <f>+'Cons spec tot e finalizzati'!T93-'Cons spec tot e finalizzati'!U93</f>
        <v>0</v>
      </c>
      <c r="M93" s="97">
        <f>+'Cons spec tot e finalizzati'!V93-'Cons spec tot e finalizzati'!W93</f>
        <v>0</v>
      </c>
    </row>
    <row r="94" spans="1:13" s="2" customFormat="1" ht="12.75">
      <c r="A94" s="114" t="s">
        <v>124</v>
      </c>
      <c r="B94" s="115"/>
      <c r="C94" s="115"/>
      <c r="D94" s="66">
        <f>+'Cons spec tot e finalizzati'!D94-'Cons spec tot e finalizzati'!E94</f>
        <v>8824</v>
      </c>
      <c r="E94" s="66">
        <f>+'Cons spec tot e finalizzati'!F94-'Cons spec tot e finalizzati'!G94</f>
        <v>10784</v>
      </c>
      <c r="F94" s="66">
        <f>+'Cons spec tot e finalizzati'!H94-'Cons spec tot e finalizzati'!I94</f>
        <v>9942</v>
      </c>
      <c r="G94" s="66">
        <f>+'Cons spec tot e finalizzati'!J94-'Cons spec tot e finalizzati'!K94</f>
        <v>10352</v>
      </c>
      <c r="H94" s="66">
        <f>+'Cons spec tot e finalizzati'!L94-'Cons spec tot e finalizzati'!M94</f>
        <v>12689</v>
      </c>
      <c r="I94" s="66">
        <f>+'Cons spec tot e finalizzati'!N94-'Cons spec tot e finalizzati'!O94</f>
        <v>12606</v>
      </c>
      <c r="J94" s="66">
        <f>+'Cons spec tot e finalizzati'!P94-'Cons spec tot e finalizzati'!Q94</f>
        <v>11623</v>
      </c>
      <c r="K94" s="66">
        <f>+'Cons spec tot e finalizzati'!R94-'Cons spec tot e finalizzati'!S94</f>
        <v>8122</v>
      </c>
      <c r="L94" s="66">
        <f>+'Cons spec tot e finalizzati'!T94-'Cons spec tot e finalizzati'!U94</f>
        <v>8298</v>
      </c>
      <c r="M94" s="66">
        <f>+'Cons spec tot e finalizzati'!V94-'Cons spec tot e finalizzati'!W94</f>
        <v>8664</v>
      </c>
    </row>
    <row r="95" spans="1:13" s="2" customFormat="1" ht="12.75">
      <c r="A95" s="27"/>
      <c r="B95" s="22" t="s">
        <v>7</v>
      </c>
      <c r="D95" s="43">
        <f>+'Cons spec tot e finalizzati'!D95-'Cons spec tot e finalizzati'!E95</f>
        <v>169</v>
      </c>
      <c r="E95" s="49">
        <f>+'Cons spec tot e finalizzati'!F95-'Cons spec tot e finalizzati'!G95</f>
        <v>265</v>
      </c>
      <c r="F95" s="43">
        <f>+'Cons spec tot e finalizzati'!H95-'Cons spec tot e finalizzati'!I95</f>
        <v>289</v>
      </c>
      <c r="G95" s="52">
        <f>+'Cons spec tot e finalizzati'!J95-'Cons spec tot e finalizzati'!K95</f>
        <v>113</v>
      </c>
      <c r="H95" s="43">
        <f>+'Cons spec tot e finalizzati'!L95-'Cons spec tot e finalizzati'!M95</f>
        <v>191</v>
      </c>
      <c r="I95" s="43">
        <f>+'Cons spec tot e finalizzati'!N95-'Cons spec tot e finalizzati'!O95</f>
        <v>126</v>
      </c>
      <c r="J95" s="43">
        <f>+'Cons spec tot e finalizzati'!P95-'Cons spec tot e finalizzati'!Q95</f>
        <v>122</v>
      </c>
      <c r="K95" s="43">
        <f>+'Cons spec tot e finalizzati'!R95-'Cons spec tot e finalizzati'!S95</f>
        <v>46</v>
      </c>
      <c r="L95" s="43">
        <f>+'Cons spec tot e finalizzati'!T95-'Cons spec tot e finalizzati'!U95</f>
        <v>28</v>
      </c>
      <c r="M95" s="43">
        <f>+'Cons spec tot e finalizzati'!V95-'Cons spec tot e finalizzati'!W95</f>
        <v>37</v>
      </c>
    </row>
    <row r="96" spans="1:13" s="2" customFormat="1" ht="12.75">
      <c r="A96" s="27"/>
      <c r="B96" s="22" t="s">
        <v>90</v>
      </c>
      <c r="D96" s="43">
        <f>+'Cons spec tot e finalizzati'!D96-'Cons spec tot e finalizzati'!E96</f>
        <v>805</v>
      </c>
      <c r="E96" s="49">
        <f>+'Cons spec tot e finalizzati'!F96-'Cons spec tot e finalizzati'!G96</f>
        <v>348</v>
      </c>
      <c r="F96" s="43">
        <f>+'Cons spec tot e finalizzati'!H96-'Cons spec tot e finalizzati'!I96</f>
        <v>1310</v>
      </c>
      <c r="G96" s="52">
        <f>+'Cons spec tot e finalizzati'!J96-'Cons spec tot e finalizzati'!K96</f>
        <v>1856</v>
      </c>
      <c r="H96" s="43">
        <f>+'Cons spec tot e finalizzati'!L96-'Cons spec tot e finalizzati'!M96</f>
        <v>2776</v>
      </c>
      <c r="I96" s="43">
        <f>+'Cons spec tot e finalizzati'!N96-'Cons spec tot e finalizzati'!O96</f>
        <v>2574</v>
      </c>
      <c r="J96" s="43">
        <f>+'Cons spec tot e finalizzati'!P96-'Cons spec tot e finalizzati'!Q96</f>
        <v>1461</v>
      </c>
      <c r="K96" s="43">
        <f>+'Cons spec tot e finalizzati'!R96-'Cons spec tot e finalizzati'!S96</f>
        <v>783</v>
      </c>
      <c r="L96" s="43">
        <f>+'Cons spec tot e finalizzati'!T96-'Cons spec tot e finalizzati'!U96</f>
        <v>730</v>
      </c>
      <c r="M96" s="43">
        <f>+'Cons spec tot e finalizzati'!V96-'Cons spec tot e finalizzati'!W96</f>
        <v>652</v>
      </c>
    </row>
    <row r="97" spans="1:13" s="2" customFormat="1" ht="12.75">
      <c r="A97" s="27"/>
      <c r="B97" s="22" t="s">
        <v>75</v>
      </c>
      <c r="D97" s="43">
        <f>+'Cons spec tot e finalizzati'!D97-'Cons spec tot e finalizzati'!E97</f>
        <v>451</v>
      </c>
      <c r="E97" s="49">
        <f>+'Cons spec tot e finalizzati'!F97-'Cons spec tot e finalizzati'!G97</f>
        <v>2143</v>
      </c>
      <c r="F97" s="43">
        <f>+'Cons spec tot e finalizzati'!H97-'Cons spec tot e finalizzati'!I97</f>
        <v>0</v>
      </c>
      <c r="G97" s="52">
        <f>+'Cons spec tot e finalizzati'!J97-'Cons spec tot e finalizzati'!K97</f>
        <v>0</v>
      </c>
      <c r="H97" s="43">
        <f>+'Cons spec tot e finalizzati'!L97-'Cons spec tot e finalizzati'!M97</f>
        <v>0</v>
      </c>
      <c r="I97" s="43">
        <f>+'Cons spec tot e finalizzati'!N97-'Cons spec tot e finalizzati'!O97</f>
        <v>0</v>
      </c>
      <c r="J97" s="43">
        <f>+'Cons spec tot e finalizzati'!P97-'Cons spec tot e finalizzati'!Q97</f>
        <v>0</v>
      </c>
      <c r="K97" s="43">
        <f>+'Cons spec tot e finalizzati'!R97-'Cons spec tot e finalizzati'!S97</f>
        <v>0</v>
      </c>
      <c r="L97" s="43">
        <f>+'Cons spec tot e finalizzati'!T97-'Cons spec tot e finalizzati'!U97</f>
        <v>0</v>
      </c>
      <c r="M97" s="43">
        <f>+'Cons spec tot e finalizzati'!V97-'Cons spec tot e finalizzati'!W97</f>
        <v>0</v>
      </c>
    </row>
    <row r="98" spans="1:13" s="2" customFormat="1" ht="12.75">
      <c r="A98" s="27"/>
      <c r="B98" s="22" t="s">
        <v>48</v>
      </c>
      <c r="D98" s="43">
        <f>+'Cons spec tot e finalizzati'!D98-'Cons spec tot e finalizzati'!E98</f>
        <v>3001</v>
      </c>
      <c r="E98" s="49">
        <f>+'Cons spec tot e finalizzati'!F98-'Cons spec tot e finalizzati'!G98</f>
        <v>3321</v>
      </c>
      <c r="F98" s="43">
        <f>+'Cons spec tot e finalizzati'!H98-'Cons spec tot e finalizzati'!I98</f>
        <v>2893</v>
      </c>
      <c r="G98" s="52">
        <f>+'Cons spec tot e finalizzati'!J98-'Cons spec tot e finalizzati'!K98</f>
        <v>2680</v>
      </c>
      <c r="H98" s="43">
        <f>+'Cons spec tot e finalizzati'!L98-'Cons spec tot e finalizzati'!M98</f>
        <v>2871</v>
      </c>
      <c r="I98" s="43">
        <f>+'Cons spec tot e finalizzati'!N98-'Cons spec tot e finalizzati'!O98</f>
        <v>2871</v>
      </c>
      <c r="J98" s="43">
        <f>+'Cons spec tot e finalizzati'!P98-'Cons spec tot e finalizzati'!Q98</f>
        <v>3098</v>
      </c>
      <c r="K98" s="43">
        <f>+'Cons spec tot e finalizzati'!R98-'Cons spec tot e finalizzati'!S98</f>
        <v>2811</v>
      </c>
      <c r="L98" s="43">
        <f>+'Cons spec tot e finalizzati'!T98-'Cons spec tot e finalizzati'!U98</f>
        <v>3156</v>
      </c>
      <c r="M98" s="43">
        <f>+'Cons spec tot e finalizzati'!V98-'Cons spec tot e finalizzati'!W98</f>
        <v>3199</v>
      </c>
    </row>
    <row r="99" spans="1:13" s="2" customFormat="1" ht="12.75">
      <c r="A99" s="27"/>
      <c r="B99" s="22" t="s">
        <v>17</v>
      </c>
      <c r="D99" s="43">
        <f>+'Cons spec tot e finalizzati'!D99-'Cons spec tot e finalizzati'!E99</f>
        <v>725</v>
      </c>
      <c r="E99" s="49">
        <f>+'Cons spec tot e finalizzati'!F99-'Cons spec tot e finalizzati'!G99</f>
        <v>860</v>
      </c>
      <c r="F99" s="43">
        <f>+'Cons spec tot e finalizzati'!H99-'Cons spec tot e finalizzati'!I99</f>
        <v>755</v>
      </c>
      <c r="G99" s="52">
        <f>+'Cons spec tot e finalizzati'!J99-'Cons spec tot e finalizzati'!K99</f>
        <v>725</v>
      </c>
      <c r="H99" s="43">
        <f>+'Cons spec tot e finalizzati'!L99-'Cons spec tot e finalizzati'!M99</f>
        <v>556</v>
      </c>
      <c r="I99" s="43">
        <f>+'Cons spec tot e finalizzati'!N99-'Cons spec tot e finalizzati'!O99</f>
        <v>592</v>
      </c>
      <c r="J99" s="43">
        <f>+'Cons spec tot e finalizzati'!P99-'Cons spec tot e finalizzati'!Q99</f>
        <v>550</v>
      </c>
      <c r="K99" s="43">
        <f>+'Cons spec tot e finalizzati'!R99-'Cons spec tot e finalizzati'!S99</f>
        <v>237</v>
      </c>
      <c r="L99" s="43">
        <f>+'Cons spec tot e finalizzati'!T99-'Cons spec tot e finalizzati'!U99</f>
        <v>255</v>
      </c>
      <c r="M99" s="43">
        <f>+'Cons spec tot e finalizzati'!V99-'Cons spec tot e finalizzati'!W99</f>
        <v>310</v>
      </c>
    </row>
    <row r="100" spans="1:13" s="2" customFormat="1" ht="12.75">
      <c r="A100" s="27"/>
      <c r="B100" s="22" t="s">
        <v>119</v>
      </c>
      <c r="D100" s="43">
        <f>+'Cons spec tot e finalizzati'!D100-'Cons spec tot e finalizzati'!E100</f>
        <v>0</v>
      </c>
      <c r="E100" s="49">
        <f>+'Cons spec tot e finalizzati'!F100-'Cons spec tot e finalizzati'!G100</f>
        <v>0</v>
      </c>
      <c r="F100" s="43">
        <f>+'Cons spec tot e finalizzati'!H100-'Cons spec tot e finalizzati'!I100</f>
        <v>0</v>
      </c>
      <c r="G100" s="52">
        <f>+'Cons spec tot e finalizzati'!J100-'Cons spec tot e finalizzati'!K100</f>
        <v>76</v>
      </c>
      <c r="H100" s="43">
        <f>+'Cons spec tot e finalizzati'!L100-'Cons spec tot e finalizzati'!M100</f>
        <v>129</v>
      </c>
      <c r="I100" s="43">
        <f>+'Cons spec tot e finalizzati'!N100-'Cons spec tot e finalizzati'!O100</f>
        <v>415</v>
      </c>
      <c r="J100" s="43">
        <f>+'Cons spec tot e finalizzati'!P100-'Cons spec tot e finalizzati'!Q100</f>
        <v>352</v>
      </c>
      <c r="K100" s="43">
        <f>+'Cons spec tot e finalizzati'!R100-'Cons spec tot e finalizzati'!S100</f>
        <v>152</v>
      </c>
      <c r="L100" s="43">
        <f>+'Cons spec tot e finalizzati'!T100-'Cons spec tot e finalizzati'!U100</f>
        <v>95</v>
      </c>
      <c r="M100" s="43">
        <f>+'Cons spec tot e finalizzati'!V100-'Cons spec tot e finalizzati'!W100</f>
        <v>139</v>
      </c>
    </row>
    <row r="101" spans="1:13" s="2" customFormat="1" ht="12.75">
      <c r="A101" s="27"/>
      <c r="B101" s="22" t="s">
        <v>76</v>
      </c>
      <c r="D101" s="43">
        <f>+'Cons spec tot e finalizzati'!D101-'Cons spec tot e finalizzati'!E101</f>
        <v>588</v>
      </c>
      <c r="E101" s="49">
        <f>+'Cons spec tot e finalizzati'!F101-'Cons spec tot e finalizzati'!G101</f>
        <v>660</v>
      </c>
      <c r="F101" s="43">
        <f>+'Cons spec tot e finalizzati'!H101-'Cons spec tot e finalizzati'!I101</f>
        <v>1082</v>
      </c>
      <c r="G101" s="52">
        <f>+'Cons spec tot e finalizzati'!J101-'Cons spec tot e finalizzati'!K101</f>
        <v>1509</v>
      </c>
      <c r="H101" s="43">
        <f>+'Cons spec tot e finalizzati'!L101-'Cons spec tot e finalizzati'!M101</f>
        <v>2431</v>
      </c>
      <c r="I101" s="43">
        <f>+'Cons spec tot e finalizzati'!N101-'Cons spec tot e finalizzati'!O101</f>
        <v>2063</v>
      </c>
      <c r="J101" s="43">
        <f>+'Cons spec tot e finalizzati'!P101-'Cons spec tot e finalizzati'!Q101</f>
        <v>2199</v>
      </c>
      <c r="K101" s="43">
        <f>+'Cons spec tot e finalizzati'!R101-'Cons spec tot e finalizzati'!S101</f>
        <v>1890</v>
      </c>
      <c r="L101" s="43">
        <f>+'Cons spec tot e finalizzati'!T101-'Cons spec tot e finalizzati'!U101</f>
        <v>1886</v>
      </c>
      <c r="M101" s="43">
        <f>+'Cons spec tot e finalizzati'!V101-'Cons spec tot e finalizzati'!W101</f>
        <v>2072</v>
      </c>
    </row>
    <row r="102" spans="1:13" s="2" customFormat="1" ht="12.75">
      <c r="A102" s="27"/>
      <c r="B102" s="22" t="s">
        <v>18</v>
      </c>
      <c r="D102" s="43">
        <f>+'Cons spec tot e finalizzati'!D102-'Cons spec tot e finalizzati'!E102</f>
        <v>410</v>
      </c>
      <c r="E102" s="49">
        <f>+'Cons spec tot e finalizzati'!F102-'Cons spec tot e finalizzati'!G102</f>
        <v>386</v>
      </c>
      <c r="F102" s="43">
        <f>+'Cons spec tot e finalizzati'!H102-'Cons spec tot e finalizzati'!I102</f>
        <v>457</v>
      </c>
      <c r="G102" s="52">
        <f>+'Cons spec tot e finalizzati'!J102-'Cons spec tot e finalizzati'!K102</f>
        <v>427</v>
      </c>
      <c r="H102" s="43">
        <f>+'Cons spec tot e finalizzati'!L102-'Cons spec tot e finalizzati'!M102</f>
        <v>421</v>
      </c>
      <c r="I102" s="43">
        <f>+'Cons spec tot e finalizzati'!N102-'Cons spec tot e finalizzati'!O102</f>
        <v>279</v>
      </c>
      <c r="J102" s="43">
        <f>+'Cons spec tot e finalizzati'!P102-'Cons spec tot e finalizzati'!Q102</f>
        <v>294</v>
      </c>
      <c r="K102" s="43">
        <f>+'Cons spec tot e finalizzati'!R102-'Cons spec tot e finalizzati'!S102</f>
        <v>159</v>
      </c>
      <c r="L102" s="43">
        <f>+'Cons spec tot e finalizzati'!T102-'Cons spec tot e finalizzati'!U102</f>
        <v>139</v>
      </c>
      <c r="M102" s="43">
        <f>+'Cons spec tot e finalizzati'!V102-'Cons spec tot e finalizzati'!W102</f>
        <v>208</v>
      </c>
    </row>
    <row r="103" spans="1:13" s="2" customFormat="1" ht="12.75">
      <c r="A103" s="27"/>
      <c r="B103" s="22" t="s">
        <v>19</v>
      </c>
      <c r="D103" s="43">
        <f>+'Cons spec tot e finalizzati'!D103-'Cons spec tot e finalizzati'!E103</f>
        <v>617</v>
      </c>
      <c r="E103" s="49">
        <f>+'Cons spec tot e finalizzati'!F103-'Cons spec tot e finalizzati'!G103</f>
        <v>617</v>
      </c>
      <c r="F103" s="43">
        <f>+'Cons spec tot e finalizzati'!H103-'Cons spec tot e finalizzati'!I103</f>
        <v>746</v>
      </c>
      <c r="G103" s="52">
        <f>+'Cons spec tot e finalizzati'!J103-'Cons spec tot e finalizzati'!K103</f>
        <v>646</v>
      </c>
      <c r="H103" s="43">
        <f>+'Cons spec tot e finalizzati'!L103-'Cons spec tot e finalizzati'!M103</f>
        <v>606</v>
      </c>
      <c r="I103" s="43">
        <f>+'Cons spec tot e finalizzati'!N103-'Cons spec tot e finalizzati'!O103</f>
        <v>488</v>
      </c>
      <c r="J103" s="43">
        <f>+'Cons spec tot e finalizzati'!P103-'Cons spec tot e finalizzati'!Q103</f>
        <v>558</v>
      </c>
      <c r="K103" s="43">
        <f>+'Cons spec tot e finalizzati'!R103-'Cons spec tot e finalizzati'!S103</f>
        <v>328</v>
      </c>
      <c r="L103" s="43">
        <f>+'Cons spec tot e finalizzati'!T103-'Cons spec tot e finalizzati'!U103</f>
        <v>212</v>
      </c>
      <c r="M103" s="43">
        <f>+'Cons spec tot e finalizzati'!V103-'Cons spec tot e finalizzati'!W103</f>
        <v>292</v>
      </c>
    </row>
    <row r="104" spans="1:13" s="2" customFormat="1" ht="12.75">
      <c r="A104" s="27"/>
      <c r="B104" s="22" t="s">
        <v>20</v>
      </c>
      <c r="D104" s="43">
        <f>+'Cons spec tot e finalizzati'!D104-'Cons spec tot e finalizzati'!E104</f>
        <v>491</v>
      </c>
      <c r="E104" s="49">
        <f>+'Cons spec tot e finalizzati'!F104-'Cons spec tot e finalizzati'!G104</f>
        <v>496</v>
      </c>
      <c r="F104" s="43">
        <f>+'Cons spec tot e finalizzati'!H104-'Cons spec tot e finalizzati'!I104</f>
        <v>491</v>
      </c>
      <c r="G104" s="52">
        <f>+'Cons spec tot e finalizzati'!J104-'Cons spec tot e finalizzati'!K104</f>
        <v>550</v>
      </c>
      <c r="H104" s="45">
        <f>+'Cons spec tot e finalizzati'!L104-'Cons spec tot e finalizzati'!M104</f>
        <v>641</v>
      </c>
      <c r="I104" s="49">
        <f>+'Cons spec tot e finalizzati'!N104-'Cons spec tot e finalizzati'!O104</f>
        <v>842</v>
      </c>
      <c r="J104" s="45">
        <f>+'Cons spec tot e finalizzati'!P104-'Cons spec tot e finalizzati'!Q104</f>
        <v>745</v>
      </c>
      <c r="K104" s="45">
        <f>+'Cons spec tot e finalizzati'!R104-'Cons spec tot e finalizzati'!S104</f>
        <v>380</v>
      </c>
      <c r="L104" s="45">
        <f>+'Cons spec tot e finalizzati'!T104-'Cons spec tot e finalizzati'!U104</f>
        <v>380</v>
      </c>
      <c r="M104" s="45">
        <f>+'Cons spec tot e finalizzati'!V104-'Cons spec tot e finalizzati'!W104</f>
        <v>372</v>
      </c>
    </row>
    <row r="105" spans="1:13" s="2" customFormat="1" ht="12.75">
      <c r="A105" s="27"/>
      <c r="B105" s="22" t="s">
        <v>21</v>
      </c>
      <c r="D105" s="43">
        <f>+'Cons spec tot e finalizzati'!D105-'Cons spec tot e finalizzati'!E105</f>
        <v>1136</v>
      </c>
      <c r="E105" s="49">
        <f>+'Cons spec tot e finalizzati'!F105-'Cons spec tot e finalizzati'!G105</f>
        <v>1134</v>
      </c>
      <c r="F105" s="43">
        <f>+'Cons spec tot e finalizzati'!H105-'Cons spec tot e finalizzati'!I105</f>
        <v>1134</v>
      </c>
      <c r="G105" s="52">
        <f>+'Cons spec tot e finalizzati'!J105-'Cons spec tot e finalizzati'!K105</f>
        <v>1053</v>
      </c>
      <c r="H105" s="45">
        <f>+'Cons spec tot e finalizzati'!L105-'Cons spec tot e finalizzati'!M105</f>
        <v>1144</v>
      </c>
      <c r="I105" s="49">
        <f>+'Cons spec tot e finalizzati'!N105-'Cons spec tot e finalizzati'!O105</f>
        <v>1341</v>
      </c>
      <c r="J105" s="45">
        <f>+'Cons spec tot e finalizzati'!P105-'Cons spec tot e finalizzati'!Q105</f>
        <v>1150</v>
      </c>
      <c r="K105" s="45">
        <f>+'Cons spec tot e finalizzati'!R105-'Cons spec tot e finalizzati'!S105</f>
        <v>620</v>
      </c>
      <c r="L105" s="45">
        <f>+'Cons spec tot e finalizzati'!T105-'Cons spec tot e finalizzati'!U105</f>
        <v>809</v>
      </c>
      <c r="M105" s="45">
        <f>+'Cons spec tot e finalizzati'!V105-'Cons spec tot e finalizzati'!W105</f>
        <v>773</v>
      </c>
    </row>
    <row r="106" spans="1:13" s="2" customFormat="1" ht="12.75">
      <c r="A106" s="27"/>
      <c r="B106" s="22" t="s">
        <v>22</v>
      </c>
      <c r="D106" s="52">
        <f>+'Cons spec tot e finalizzati'!D106-'Cons spec tot e finalizzati'!E106</f>
        <v>97</v>
      </c>
      <c r="E106" s="52">
        <f>+'Cons spec tot e finalizzati'!F106-'Cons spec tot e finalizzati'!G106</f>
        <v>112</v>
      </c>
      <c r="F106" s="67">
        <f>+'Cons spec tot e finalizzati'!H106-'Cons spec tot e finalizzati'!I106</f>
        <v>134</v>
      </c>
      <c r="G106" s="52">
        <f>+'Cons spec tot e finalizzati'!J106-'Cons spec tot e finalizzati'!K106</f>
        <v>147</v>
      </c>
      <c r="H106" s="52">
        <f>+'Cons spec tot e finalizzati'!L106-'Cons spec tot e finalizzati'!M106</f>
        <v>138</v>
      </c>
      <c r="I106" s="52">
        <f>+'Cons spec tot e finalizzati'!N106-'Cons spec tot e finalizzati'!O106</f>
        <v>139</v>
      </c>
      <c r="J106" s="52">
        <f>+'Cons spec tot e finalizzati'!P106-'Cons spec tot e finalizzati'!Q106</f>
        <v>158</v>
      </c>
      <c r="K106" s="52">
        <f>+'Cons spec tot e finalizzati'!R106-'Cons spec tot e finalizzati'!S106</f>
        <v>74</v>
      </c>
      <c r="L106" s="52">
        <f>+'Cons spec tot e finalizzati'!T106-'Cons spec tot e finalizzati'!U106</f>
        <v>59</v>
      </c>
      <c r="M106" s="52">
        <f>+'Cons spec tot e finalizzati'!V106-'Cons spec tot e finalizzati'!W106</f>
        <v>60</v>
      </c>
    </row>
    <row r="107" spans="1:13" s="2" customFormat="1" ht="12.75">
      <c r="A107" s="27"/>
      <c r="B107" s="22" t="s">
        <v>23</v>
      </c>
      <c r="D107" s="49">
        <f>+'Cons spec tot e finalizzati'!D107-'Cons spec tot e finalizzati'!E107</f>
        <v>142</v>
      </c>
      <c r="E107" s="49">
        <f>+'Cons spec tot e finalizzati'!F107-'Cons spec tot e finalizzati'!G107</f>
        <v>212</v>
      </c>
      <c r="F107" s="43">
        <f>+'Cons spec tot e finalizzati'!H107-'Cons spec tot e finalizzati'!I107</f>
        <v>167</v>
      </c>
      <c r="G107" s="52">
        <f>+'Cons spec tot e finalizzati'!J107-'Cons spec tot e finalizzati'!K107</f>
        <v>177</v>
      </c>
      <c r="H107" s="49">
        <f>+'Cons spec tot e finalizzati'!L107-'Cons spec tot e finalizzati'!M107</f>
        <v>191</v>
      </c>
      <c r="I107" s="49">
        <f>+'Cons spec tot e finalizzati'!N107-'Cons spec tot e finalizzati'!O107</f>
        <v>303</v>
      </c>
      <c r="J107" s="49">
        <f>+'Cons spec tot e finalizzati'!P107-'Cons spec tot e finalizzati'!Q107</f>
        <v>321</v>
      </c>
      <c r="K107" s="49">
        <f>+'Cons spec tot e finalizzati'!R107-'Cons spec tot e finalizzati'!S107</f>
        <v>278</v>
      </c>
      <c r="L107" s="49">
        <f>+'Cons spec tot e finalizzati'!T107-'Cons spec tot e finalizzati'!U107</f>
        <v>278</v>
      </c>
      <c r="M107" s="49">
        <f>+'Cons spec tot e finalizzati'!V107-'Cons spec tot e finalizzati'!W107</f>
        <v>303</v>
      </c>
    </row>
    <row r="108" spans="1:13" s="2" customFormat="1" ht="12.75">
      <c r="A108" s="27"/>
      <c r="B108" s="22" t="s">
        <v>77</v>
      </c>
      <c r="D108" s="49">
        <f>+'Cons spec tot e finalizzati'!D108-'Cons spec tot e finalizzati'!E108</f>
        <v>0</v>
      </c>
      <c r="E108" s="49">
        <f>+'Cons spec tot e finalizzati'!F108-'Cons spec tot e finalizzati'!G108</f>
        <v>0</v>
      </c>
      <c r="F108" s="43">
        <f>+'Cons spec tot e finalizzati'!H108-'Cons spec tot e finalizzati'!I108</f>
        <v>79</v>
      </c>
      <c r="G108" s="52">
        <f>+'Cons spec tot e finalizzati'!J108-'Cons spec tot e finalizzati'!K108</f>
        <v>200</v>
      </c>
      <c r="H108" s="49">
        <f>+'Cons spec tot e finalizzati'!L108-'Cons spec tot e finalizzati'!M108</f>
        <v>226</v>
      </c>
      <c r="I108" s="49">
        <f>+'Cons spec tot e finalizzati'!N108-'Cons spec tot e finalizzati'!O108</f>
        <v>294</v>
      </c>
      <c r="J108" s="49">
        <f>+'Cons spec tot e finalizzati'!P108-'Cons spec tot e finalizzati'!Q108</f>
        <v>353</v>
      </c>
      <c r="K108" s="49">
        <f>+'Cons spec tot e finalizzati'!R108-'Cons spec tot e finalizzati'!S108</f>
        <v>240</v>
      </c>
      <c r="L108" s="49">
        <f>+'Cons spec tot e finalizzati'!T108-'Cons spec tot e finalizzati'!U108</f>
        <v>213</v>
      </c>
      <c r="M108" s="49">
        <f>+'Cons spec tot e finalizzati'!V108-'Cons spec tot e finalizzati'!W108</f>
        <v>225</v>
      </c>
    </row>
    <row r="109" spans="1:13" s="2" customFormat="1" ht="12.75">
      <c r="A109" s="27"/>
      <c r="B109" s="22" t="s">
        <v>78</v>
      </c>
      <c r="D109" s="49">
        <f>+'Cons spec tot e finalizzati'!D109-'Cons spec tot e finalizzati'!E109</f>
        <v>192</v>
      </c>
      <c r="E109" s="49">
        <f>+'Cons spec tot e finalizzati'!F109-'Cons spec tot e finalizzati'!G109</f>
        <v>209</v>
      </c>
      <c r="F109" s="43">
        <f>+'Cons spec tot e finalizzati'!H109-'Cons spec tot e finalizzati'!I109</f>
        <v>174</v>
      </c>
      <c r="G109" s="52">
        <f>+'Cons spec tot e finalizzati'!J109-'Cons spec tot e finalizzati'!K109</f>
        <v>122</v>
      </c>
      <c r="H109" s="49">
        <f>+'Cons spec tot e finalizzati'!L109-'Cons spec tot e finalizzati'!M109</f>
        <v>99</v>
      </c>
      <c r="I109" s="49">
        <f>+'Cons spec tot e finalizzati'!N109-'Cons spec tot e finalizzati'!O109</f>
        <v>54</v>
      </c>
      <c r="J109" s="49">
        <f>+'Cons spec tot e finalizzati'!P109-'Cons spec tot e finalizzati'!Q109</f>
        <v>102</v>
      </c>
      <c r="K109" s="49">
        <f>+'Cons spec tot e finalizzati'!R109-'Cons spec tot e finalizzati'!S109</f>
        <v>24</v>
      </c>
      <c r="L109" s="49">
        <f>+'Cons spec tot e finalizzati'!T109-'Cons spec tot e finalizzati'!U109</f>
        <v>5</v>
      </c>
      <c r="M109" s="49">
        <f>+'Cons spec tot e finalizzati'!V109-'Cons spec tot e finalizzati'!W109</f>
        <v>13</v>
      </c>
    </row>
    <row r="110" spans="1:13" s="30" customFormat="1" ht="12.75">
      <c r="A110" s="57"/>
      <c r="B110" s="155" t="s">
        <v>157</v>
      </c>
      <c r="C110" s="158"/>
      <c r="D110" s="69">
        <f>+'Cons spec tot e finalizzati'!D110-'Cons spec tot e finalizzati'!E110</f>
        <v>0</v>
      </c>
      <c r="E110" s="69">
        <f>+'Cons spec tot e finalizzati'!F110-'Cons spec tot e finalizzati'!G110</f>
        <v>21</v>
      </c>
      <c r="F110" s="69">
        <f>+'Cons spec tot e finalizzati'!H110-'Cons spec tot e finalizzati'!I110</f>
        <v>231</v>
      </c>
      <c r="G110" s="64">
        <f>+'Cons spec tot e finalizzati'!J110-'Cons spec tot e finalizzati'!K110</f>
        <v>71</v>
      </c>
      <c r="H110" s="69">
        <f>+'Cons spec tot e finalizzati'!L110-'Cons spec tot e finalizzati'!M110</f>
        <v>269</v>
      </c>
      <c r="I110" s="69">
        <f>+'Cons spec tot e finalizzati'!N110-'Cons spec tot e finalizzati'!O110</f>
        <v>225</v>
      </c>
      <c r="J110" s="69">
        <f>+'Cons spec tot e finalizzati'!P110-'Cons spec tot e finalizzati'!Q110</f>
        <v>160</v>
      </c>
      <c r="K110" s="69">
        <f>+'Cons spec tot e finalizzati'!R110-'Cons spec tot e finalizzati'!S110</f>
        <v>100</v>
      </c>
      <c r="L110" s="69">
        <f>+'Cons spec tot e finalizzati'!T110-'Cons spec tot e finalizzati'!U110</f>
        <v>53</v>
      </c>
      <c r="M110" s="69">
        <f>+'Cons spec tot e finalizzati'!V110-'Cons spec tot e finalizzati'!W110</f>
        <v>9</v>
      </c>
    </row>
    <row r="111" spans="1:13" s="2" customFormat="1" ht="12.75">
      <c r="A111" s="114" t="s">
        <v>153</v>
      </c>
      <c r="B111" s="115"/>
      <c r="C111" s="115"/>
      <c r="D111" s="66">
        <f>+'Cons spec tot e finalizzati'!D111-'Cons spec tot e finalizzati'!E111</f>
        <v>774</v>
      </c>
      <c r="E111" s="66">
        <f>+'Cons spec tot e finalizzati'!F111-'Cons spec tot e finalizzati'!G111</f>
        <v>1239</v>
      </c>
      <c r="F111" s="66">
        <f>+'Cons spec tot e finalizzati'!H111-'Cons spec tot e finalizzati'!I111</f>
        <v>648</v>
      </c>
      <c r="G111" s="66">
        <f>+'Cons spec tot e finalizzati'!J111-'Cons spec tot e finalizzati'!K111</f>
        <v>931</v>
      </c>
      <c r="H111" s="66">
        <f>+'Cons spec tot e finalizzati'!L111-'Cons spec tot e finalizzati'!M111</f>
        <v>631</v>
      </c>
      <c r="I111" s="66">
        <f>+'Cons spec tot e finalizzati'!N111-'Cons spec tot e finalizzati'!O111</f>
        <v>783</v>
      </c>
      <c r="J111" s="66">
        <f>+'Cons spec tot e finalizzati'!P111-'Cons spec tot e finalizzati'!Q111</f>
        <v>591</v>
      </c>
      <c r="K111" s="66">
        <f>+'Cons spec tot e finalizzati'!R111-'Cons spec tot e finalizzati'!S111</f>
        <v>216</v>
      </c>
      <c r="L111" s="66">
        <f>+'Cons spec tot e finalizzati'!T111-'Cons spec tot e finalizzati'!U111</f>
        <v>407</v>
      </c>
      <c r="M111" s="66">
        <f>+'Cons spec tot e finalizzati'!V111-'Cons spec tot e finalizzati'!W111</f>
        <v>117</v>
      </c>
    </row>
    <row r="112" spans="1:13" s="2" customFormat="1" ht="12.75">
      <c r="A112" s="27"/>
      <c r="B112" s="10" t="s">
        <v>7</v>
      </c>
      <c r="D112" s="49">
        <f>+'Cons spec tot e finalizzati'!D112-'Cons spec tot e finalizzati'!E112</f>
        <v>412</v>
      </c>
      <c r="E112" s="49">
        <f>+'Cons spec tot e finalizzati'!F112-'Cons spec tot e finalizzati'!G112</f>
        <v>502</v>
      </c>
      <c r="F112" s="44">
        <f>+'Cons spec tot e finalizzati'!H112-'Cons spec tot e finalizzati'!I112</f>
        <v>451</v>
      </c>
      <c r="G112" s="50">
        <f>+'Cons spec tot e finalizzati'!J112-'Cons spec tot e finalizzati'!K112</f>
        <v>500</v>
      </c>
      <c r="H112" s="44">
        <f>+'Cons spec tot e finalizzati'!L112-'Cons spec tot e finalizzati'!M112</f>
        <v>204</v>
      </c>
      <c r="I112" s="43">
        <f>+'Cons spec tot e finalizzati'!N112-'Cons spec tot e finalizzati'!O112</f>
        <v>219</v>
      </c>
      <c r="J112" s="44">
        <f>+'Cons spec tot e finalizzati'!P112-'Cons spec tot e finalizzati'!Q112</f>
        <v>145</v>
      </c>
      <c r="K112" s="44">
        <f>+'Cons spec tot e finalizzati'!R112-'Cons spec tot e finalizzati'!S112</f>
        <v>43</v>
      </c>
      <c r="L112" s="44">
        <f>+'Cons spec tot e finalizzati'!T112-'Cons spec tot e finalizzati'!U112</f>
        <v>63</v>
      </c>
      <c r="M112" s="44">
        <f>+'Cons spec tot e finalizzati'!V112-'Cons spec tot e finalizzati'!W112</f>
        <v>41</v>
      </c>
    </row>
    <row r="113" spans="1:13" s="2" customFormat="1" ht="12.75">
      <c r="A113" s="27"/>
      <c r="B113" s="22" t="s">
        <v>182</v>
      </c>
      <c r="D113" s="49">
        <f>+'Cons spec tot e finalizzati'!D113-'Cons spec tot e finalizzati'!E113</f>
        <v>362</v>
      </c>
      <c r="E113" s="49">
        <f>+'Cons spec tot e finalizzati'!F113-'Cons spec tot e finalizzati'!G113</f>
        <v>737</v>
      </c>
      <c r="F113" s="44">
        <f>+'Cons spec tot e finalizzati'!H113-'Cons spec tot e finalizzati'!I113</f>
        <v>197</v>
      </c>
      <c r="G113" s="50">
        <f>+'Cons spec tot e finalizzati'!J113-'Cons spec tot e finalizzati'!K113</f>
        <v>68</v>
      </c>
      <c r="H113" s="44">
        <f>+'Cons spec tot e finalizzati'!L113-'Cons spec tot e finalizzati'!M113</f>
        <v>56</v>
      </c>
      <c r="I113" s="43">
        <f>+'Cons spec tot e finalizzati'!N113-'Cons spec tot e finalizzati'!O113</f>
        <v>211</v>
      </c>
      <c r="J113" s="44">
        <f>+'Cons spec tot e finalizzati'!P113-'Cons spec tot e finalizzati'!Q113</f>
        <v>150</v>
      </c>
      <c r="K113" s="44">
        <f>+'Cons spec tot e finalizzati'!R113-'Cons spec tot e finalizzati'!S113</f>
        <v>12</v>
      </c>
      <c r="L113" s="44">
        <f>+'Cons spec tot e finalizzati'!T113-'Cons spec tot e finalizzati'!U113</f>
        <v>0</v>
      </c>
      <c r="M113" s="44">
        <f>+'Cons spec tot e finalizzati'!V113-'Cons spec tot e finalizzati'!W113</f>
        <v>0</v>
      </c>
    </row>
    <row r="114" spans="1:13" s="30" customFormat="1" ht="12.75">
      <c r="A114" s="122"/>
      <c r="B114" s="21" t="s">
        <v>181</v>
      </c>
      <c r="D114" s="43">
        <f>+'Cons spec tot e finalizzati'!D114-'Cons spec tot e finalizzati'!E114</f>
        <v>0</v>
      </c>
      <c r="E114" s="43">
        <f>+'Cons spec tot e finalizzati'!F114-'Cons spec tot e finalizzati'!G114</f>
        <v>0</v>
      </c>
      <c r="F114" s="43">
        <f>+'Cons spec tot e finalizzati'!H114-'Cons spec tot e finalizzati'!I114</f>
        <v>0</v>
      </c>
      <c r="G114" s="52">
        <f>+'Cons spec tot e finalizzati'!J114-'Cons spec tot e finalizzati'!K114</f>
        <v>260</v>
      </c>
      <c r="H114" s="49">
        <f>+'Cons spec tot e finalizzati'!L114-'Cons spec tot e finalizzati'!M114</f>
        <v>319</v>
      </c>
      <c r="I114" s="49">
        <f>+'Cons spec tot e finalizzati'!N114-'Cons spec tot e finalizzati'!O114</f>
        <v>337</v>
      </c>
      <c r="J114" s="49">
        <f>+'Cons spec tot e finalizzati'!P114-'Cons spec tot e finalizzati'!Q114</f>
        <v>270</v>
      </c>
      <c r="K114" s="49">
        <f>+'Cons spec tot e finalizzati'!R114-'Cons spec tot e finalizzati'!S114</f>
        <v>156</v>
      </c>
      <c r="L114" s="49">
        <f>+'Cons spec tot e finalizzati'!T114-'Cons spec tot e finalizzati'!U114</f>
        <v>202</v>
      </c>
      <c r="M114" s="49">
        <f>+'Cons spec tot e finalizzati'!V114-'Cons spec tot e finalizzati'!W114</f>
        <v>76</v>
      </c>
    </row>
    <row r="115" spans="1:13" s="30" customFormat="1" ht="12.75">
      <c r="A115" s="57"/>
      <c r="B115" s="155" t="s">
        <v>183</v>
      </c>
      <c r="C115" s="158"/>
      <c r="D115" s="69">
        <f>+'Cons spec tot e finalizzati'!D115-'Cons spec tot e finalizzati'!E115</f>
        <v>0</v>
      </c>
      <c r="E115" s="69">
        <f>+'Cons spec tot e finalizzati'!F115-'Cons spec tot e finalizzati'!G115</f>
        <v>0</v>
      </c>
      <c r="F115" s="69">
        <f>+'Cons spec tot e finalizzati'!H115-'Cons spec tot e finalizzati'!I115</f>
        <v>0</v>
      </c>
      <c r="G115" s="64">
        <f>+'Cons spec tot e finalizzati'!J115-'Cons spec tot e finalizzati'!K115</f>
        <v>103</v>
      </c>
      <c r="H115" s="69">
        <f>+'Cons spec tot e finalizzati'!L115-'Cons spec tot e finalizzati'!M115</f>
        <v>52</v>
      </c>
      <c r="I115" s="69">
        <f>+'Cons spec tot e finalizzati'!N115-'Cons spec tot e finalizzati'!O115</f>
        <v>16</v>
      </c>
      <c r="J115" s="69">
        <f>+'Cons spec tot e finalizzati'!P115-'Cons spec tot e finalizzati'!Q115</f>
        <v>26</v>
      </c>
      <c r="K115" s="69">
        <f>+'Cons spec tot e finalizzati'!R115-'Cons spec tot e finalizzati'!S115</f>
        <v>5</v>
      </c>
      <c r="L115" s="69">
        <f>+'Cons spec tot e finalizzati'!T115-'Cons spec tot e finalizzati'!U115</f>
        <v>142</v>
      </c>
      <c r="M115" s="69">
        <f>+'Cons spec tot e finalizzati'!V115-'Cons spec tot e finalizzati'!W115</f>
        <v>0</v>
      </c>
    </row>
    <row r="116" spans="1:13" s="2" customFormat="1" ht="12.75">
      <c r="A116" s="114" t="s">
        <v>154</v>
      </c>
      <c r="B116" s="115"/>
      <c r="C116" s="115"/>
      <c r="D116" s="66">
        <f>+'Cons spec tot e finalizzati'!D116-'Cons spec tot e finalizzati'!E116</f>
        <v>4324</v>
      </c>
      <c r="E116" s="66">
        <f>+'Cons spec tot e finalizzati'!F116-'Cons spec tot e finalizzati'!G116</f>
        <v>4083</v>
      </c>
      <c r="F116" s="66">
        <f>+'Cons spec tot e finalizzati'!H116-'Cons spec tot e finalizzati'!I116</f>
        <v>4717</v>
      </c>
      <c r="G116" s="66">
        <f>+'Cons spec tot e finalizzati'!J116-'Cons spec tot e finalizzati'!K116</f>
        <v>4930</v>
      </c>
      <c r="H116" s="66">
        <f>+'Cons spec tot e finalizzati'!L116-'Cons spec tot e finalizzati'!M116</f>
        <v>5066</v>
      </c>
      <c r="I116" s="66">
        <f>+'Cons spec tot e finalizzati'!N116-'Cons spec tot e finalizzati'!O116</f>
        <v>4386</v>
      </c>
      <c r="J116" s="66">
        <f>+'Cons spec tot e finalizzati'!P116-'Cons spec tot e finalizzati'!Q116</f>
        <v>4269</v>
      </c>
      <c r="K116" s="66">
        <f>+'Cons spec tot e finalizzati'!R116-'Cons spec tot e finalizzati'!S116</f>
        <v>3034</v>
      </c>
      <c r="L116" s="66">
        <f>+'Cons spec tot e finalizzati'!T116-'Cons spec tot e finalizzati'!U116</f>
        <v>2816</v>
      </c>
      <c r="M116" s="66">
        <f>+'Cons spec tot e finalizzati'!V116-'Cons spec tot e finalizzati'!W116</f>
        <v>2428</v>
      </c>
    </row>
    <row r="117" spans="1:13" s="2" customFormat="1" ht="12.75">
      <c r="A117" s="27"/>
      <c r="B117" s="10" t="s">
        <v>7</v>
      </c>
      <c r="D117" s="49">
        <f>+'Cons spec tot e finalizzati'!D117-'Cons spec tot e finalizzati'!E117</f>
        <v>0</v>
      </c>
      <c r="E117" s="49">
        <f>+'Cons spec tot e finalizzati'!F117-'Cons spec tot e finalizzati'!G117</f>
        <v>0</v>
      </c>
      <c r="F117" s="44">
        <f>+'Cons spec tot e finalizzati'!H117-'Cons spec tot e finalizzati'!I117</f>
        <v>0</v>
      </c>
      <c r="G117" s="50">
        <f>+'Cons spec tot e finalizzati'!J117-'Cons spec tot e finalizzati'!K117</f>
        <v>98</v>
      </c>
      <c r="H117" s="44">
        <f>+'Cons spec tot e finalizzati'!L117-'Cons spec tot e finalizzati'!M117</f>
        <v>112</v>
      </c>
      <c r="I117" s="43">
        <f>+'Cons spec tot e finalizzati'!N117-'Cons spec tot e finalizzati'!O117</f>
        <v>67</v>
      </c>
      <c r="J117" s="44">
        <f>+'Cons spec tot e finalizzati'!P117-'Cons spec tot e finalizzati'!Q117</f>
        <v>83</v>
      </c>
      <c r="K117" s="44">
        <f>+'Cons spec tot e finalizzati'!R117-'Cons spec tot e finalizzati'!S117</f>
        <v>43</v>
      </c>
      <c r="L117" s="44">
        <f>+'Cons spec tot e finalizzati'!T117-'Cons spec tot e finalizzati'!U117</f>
        <v>19</v>
      </c>
      <c r="M117" s="44">
        <f>+'Cons spec tot e finalizzati'!V117-'Cons spec tot e finalizzati'!W117</f>
        <v>24</v>
      </c>
    </row>
    <row r="118" spans="1:13" s="2" customFormat="1" ht="12.75">
      <c r="A118" s="27"/>
      <c r="B118" s="10" t="s">
        <v>91</v>
      </c>
      <c r="D118" s="49">
        <f>+'Cons spec tot e finalizzati'!D118-'Cons spec tot e finalizzati'!E118</f>
        <v>0</v>
      </c>
      <c r="E118" s="49">
        <f>+'Cons spec tot e finalizzati'!F118-'Cons spec tot e finalizzati'!G118</f>
        <v>0</v>
      </c>
      <c r="F118" s="44">
        <f>+'Cons spec tot e finalizzati'!H118-'Cons spec tot e finalizzati'!I118</f>
        <v>0</v>
      </c>
      <c r="G118" s="50">
        <f>+'Cons spec tot e finalizzati'!J118-'Cons spec tot e finalizzati'!K118</f>
        <v>694</v>
      </c>
      <c r="H118" s="44">
        <f>+'Cons spec tot e finalizzati'!L118-'Cons spec tot e finalizzati'!M118</f>
        <v>576</v>
      </c>
      <c r="I118" s="43">
        <f>+'Cons spec tot e finalizzati'!N118-'Cons spec tot e finalizzati'!O118</f>
        <v>494</v>
      </c>
      <c r="J118" s="44">
        <f>+'Cons spec tot e finalizzati'!P118-'Cons spec tot e finalizzati'!Q118</f>
        <v>445</v>
      </c>
      <c r="K118" s="44">
        <f>+'Cons spec tot e finalizzati'!R118-'Cons spec tot e finalizzati'!S118</f>
        <v>160</v>
      </c>
      <c r="L118" s="44">
        <f>+'Cons spec tot e finalizzati'!T118-'Cons spec tot e finalizzati'!U118</f>
        <v>126</v>
      </c>
      <c r="M118" s="44">
        <f>+'Cons spec tot e finalizzati'!V118-'Cons spec tot e finalizzati'!W118</f>
        <v>65</v>
      </c>
    </row>
    <row r="119" spans="1:13" s="2" customFormat="1" ht="12.75">
      <c r="A119" s="27"/>
      <c r="B119" s="10" t="s">
        <v>92</v>
      </c>
      <c r="D119" s="49">
        <f>+'Cons spec tot e finalizzati'!D119-'Cons spec tot e finalizzati'!E119</f>
        <v>0</v>
      </c>
      <c r="E119" s="49">
        <f>+'Cons spec tot e finalizzati'!F119-'Cons spec tot e finalizzati'!G119</f>
        <v>0</v>
      </c>
      <c r="F119" s="44">
        <f>+'Cons spec tot e finalizzati'!H119-'Cons spec tot e finalizzati'!I119</f>
        <v>0</v>
      </c>
      <c r="G119" s="50">
        <f>+'Cons spec tot e finalizzati'!J119-'Cons spec tot e finalizzati'!K119</f>
        <v>484</v>
      </c>
      <c r="H119" s="44">
        <f>+'Cons spec tot e finalizzati'!L119-'Cons spec tot e finalizzati'!M119</f>
        <v>337</v>
      </c>
      <c r="I119" s="43">
        <f>+'Cons spec tot e finalizzati'!N119-'Cons spec tot e finalizzati'!O119</f>
        <v>0</v>
      </c>
      <c r="J119" s="44">
        <f>+'Cons spec tot e finalizzati'!P119-'Cons spec tot e finalizzati'!Q119</f>
        <v>12</v>
      </c>
      <c r="K119" s="44">
        <f>+'Cons spec tot e finalizzati'!R119-'Cons spec tot e finalizzati'!S119</f>
        <v>0</v>
      </c>
      <c r="L119" s="44">
        <f>+'Cons spec tot e finalizzati'!T119-'Cons spec tot e finalizzati'!U119</f>
        <v>0</v>
      </c>
      <c r="M119" s="44">
        <f>+'Cons spec tot e finalizzati'!V119-'Cons spec tot e finalizzati'!W119</f>
        <v>10</v>
      </c>
    </row>
    <row r="120" spans="1:13" s="2" customFormat="1" ht="12.75">
      <c r="A120" s="112"/>
      <c r="B120" s="23" t="s">
        <v>81</v>
      </c>
      <c r="D120" s="49">
        <f>+'Cons spec tot e finalizzati'!D120-'Cons spec tot e finalizzati'!E120</f>
        <v>924</v>
      </c>
      <c r="E120" s="49">
        <f>+'Cons spec tot e finalizzati'!F120-'Cons spec tot e finalizzati'!G120</f>
        <v>892</v>
      </c>
      <c r="F120" s="44">
        <f>+'Cons spec tot e finalizzati'!H120-'Cons spec tot e finalizzati'!I120</f>
        <v>988</v>
      </c>
      <c r="G120" s="50">
        <f>+'Cons spec tot e finalizzati'!J120-'Cons spec tot e finalizzati'!K120</f>
        <v>0</v>
      </c>
      <c r="H120" s="44">
        <f>+'Cons spec tot e finalizzati'!L120-'Cons spec tot e finalizzati'!M120</f>
        <v>0</v>
      </c>
      <c r="I120" s="43">
        <f>+'Cons spec tot e finalizzati'!N120-'Cons spec tot e finalizzati'!O120</f>
        <v>0</v>
      </c>
      <c r="J120" s="44">
        <f>+'Cons spec tot e finalizzati'!P120-'Cons spec tot e finalizzati'!Q120</f>
        <v>0</v>
      </c>
      <c r="K120" s="44">
        <f>+'Cons spec tot e finalizzati'!R120-'Cons spec tot e finalizzati'!S120</f>
        <v>0</v>
      </c>
      <c r="L120" s="44">
        <f>+'Cons spec tot e finalizzati'!T120-'Cons spec tot e finalizzati'!U120</f>
        <v>0</v>
      </c>
      <c r="M120" s="44">
        <f>+'Cons spec tot e finalizzati'!V120-'Cons spec tot e finalizzati'!W120</f>
        <v>0</v>
      </c>
    </row>
    <row r="121" spans="1:13" s="2" customFormat="1" ht="12.75">
      <c r="A121" s="27"/>
      <c r="B121" s="21" t="s">
        <v>24</v>
      </c>
      <c r="C121" s="30"/>
      <c r="D121" s="43">
        <f>+'Cons spec tot e finalizzati'!D121-'Cons spec tot e finalizzati'!E121</f>
        <v>3104</v>
      </c>
      <c r="E121" s="43">
        <f>+'Cons spec tot e finalizzati'!F121-'Cons spec tot e finalizzati'!G121</f>
        <v>2996</v>
      </c>
      <c r="F121" s="43">
        <f>+'Cons spec tot e finalizzati'!H121-'Cons spec tot e finalizzati'!I121</f>
        <v>2871</v>
      </c>
      <c r="G121" s="52">
        <f>+'Cons spec tot e finalizzati'!J121-'Cons spec tot e finalizzati'!K121</f>
        <v>2737</v>
      </c>
      <c r="H121" s="43">
        <f>+'Cons spec tot e finalizzati'!L121-'Cons spec tot e finalizzati'!M121</f>
        <v>2543</v>
      </c>
      <c r="I121" s="43">
        <f>+'Cons spec tot e finalizzati'!N121-'Cons spec tot e finalizzati'!O121</f>
        <v>2454</v>
      </c>
      <c r="J121" s="43">
        <f>+'Cons spec tot e finalizzati'!P121-'Cons spec tot e finalizzati'!Q121</f>
        <v>2379</v>
      </c>
      <c r="K121" s="43">
        <f>+'Cons spec tot e finalizzati'!R121-'Cons spec tot e finalizzati'!S121</f>
        <v>2094</v>
      </c>
      <c r="L121" s="43">
        <f>+'Cons spec tot e finalizzati'!T121-'Cons spec tot e finalizzati'!U121</f>
        <v>2048</v>
      </c>
      <c r="M121" s="43">
        <f>+'Cons spec tot e finalizzati'!V121-'Cons spec tot e finalizzati'!W121</f>
        <v>2156</v>
      </c>
    </row>
    <row r="122" spans="1:13" s="2" customFormat="1" ht="12.75">
      <c r="A122" s="27"/>
      <c r="B122" s="21" t="s">
        <v>93</v>
      </c>
      <c r="C122" s="30"/>
      <c r="D122" s="43">
        <f>+'Cons spec tot e finalizzati'!D122-'Cons spec tot e finalizzati'!E122</f>
        <v>296</v>
      </c>
      <c r="E122" s="43">
        <f>+'Cons spec tot e finalizzati'!F122-'Cons spec tot e finalizzati'!G122</f>
        <v>195</v>
      </c>
      <c r="F122" s="43">
        <f>+'Cons spec tot e finalizzati'!H122-'Cons spec tot e finalizzati'!I122</f>
        <v>255</v>
      </c>
      <c r="G122" s="52">
        <f>+'Cons spec tot e finalizzati'!J122-'Cons spec tot e finalizzati'!K122</f>
        <v>280</v>
      </c>
      <c r="H122" s="43">
        <f>+'Cons spec tot e finalizzati'!L122-'Cons spec tot e finalizzati'!M122</f>
        <v>286</v>
      </c>
      <c r="I122" s="43">
        <f>+'Cons spec tot e finalizzati'!N122-'Cons spec tot e finalizzati'!O122</f>
        <v>306</v>
      </c>
      <c r="J122" s="43">
        <f>+'Cons spec tot e finalizzati'!P122-'Cons spec tot e finalizzati'!Q122</f>
        <v>256</v>
      </c>
      <c r="K122" s="43">
        <f>+'Cons spec tot e finalizzati'!R122-'Cons spec tot e finalizzati'!S122</f>
        <v>83</v>
      </c>
      <c r="L122" s="43">
        <f>+'Cons spec tot e finalizzati'!T122-'Cons spec tot e finalizzati'!U122</f>
        <v>50</v>
      </c>
      <c r="M122" s="43">
        <f>+'Cons spec tot e finalizzati'!V122-'Cons spec tot e finalizzati'!W122</f>
        <v>99</v>
      </c>
    </row>
    <row r="123" spans="1:13" s="30" customFormat="1" ht="12.75">
      <c r="A123" s="57"/>
      <c r="B123" s="155" t="s">
        <v>135</v>
      </c>
      <c r="C123" s="158"/>
      <c r="D123" s="69">
        <f>+'Cons spec tot e finalizzati'!D123-'Cons spec tot e finalizzati'!E123</f>
        <v>0</v>
      </c>
      <c r="E123" s="69">
        <f>+'Cons spec tot e finalizzati'!F123-'Cons spec tot e finalizzati'!G123</f>
        <v>0</v>
      </c>
      <c r="F123" s="69">
        <f>+'Cons spec tot e finalizzati'!H123-'Cons spec tot e finalizzati'!I123</f>
        <v>603</v>
      </c>
      <c r="G123" s="64">
        <f>+'Cons spec tot e finalizzati'!J123-'Cons spec tot e finalizzati'!K123</f>
        <v>637</v>
      </c>
      <c r="H123" s="69">
        <f>+'Cons spec tot e finalizzati'!L123-'Cons spec tot e finalizzati'!M123</f>
        <v>1212</v>
      </c>
      <c r="I123" s="69">
        <f>+'Cons spec tot e finalizzati'!N123-'Cons spec tot e finalizzati'!O123</f>
        <v>1065</v>
      </c>
      <c r="J123" s="69">
        <f>+'Cons spec tot e finalizzati'!P123-'Cons spec tot e finalizzati'!Q123</f>
        <v>1094</v>
      </c>
      <c r="K123" s="69">
        <f>+'Cons spec tot e finalizzati'!R123-'Cons spec tot e finalizzati'!S123</f>
        <v>654</v>
      </c>
      <c r="L123" s="69">
        <f>+'Cons spec tot e finalizzati'!T123-'Cons spec tot e finalizzati'!U123</f>
        <v>573</v>
      </c>
      <c r="M123" s="69">
        <f>+'Cons spec tot e finalizzati'!V123-'Cons spec tot e finalizzati'!W123</f>
        <v>74</v>
      </c>
    </row>
    <row r="124" spans="1:13" s="2" customFormat="1" ht="12.75">
      <c r="A124" s="114" t="s">
        <v>155</v>
      </c>
      <c r="B124" s="115"/>
      <c r="C124" s="115"/>
      <c r="D124" s="66">
        <f>+'Cons spec tot e finalizzati'!D124-'Cons spec tot e finalizzati'!E124</f>
        <v>2046</v>
      </c>
      <c r="E124" s="66">
        <f>+'Cons spec tot e finalizzati'!F124-'Cons spec tot e finalizzati'!G124</f>
        <v>1648</v>
      </c>
      <c r="F124" s="66">
        <f>+'Cons spec tot e finalizzati'!H124-'Cons spec tot e finalizzati'!I124</f>
        <v>1349</v>
      </c>
      <c r="G124" s="66">
        <f>+'Cons spec tot e finalizzati'!J124-'Cons spec tot e finalizzati'!K124</f>
        <v>1776</v>
      </c>
      <c r="H124" s="66">
        <f>+'Cons spec tot e finalizzati'!L124-'Cons spec tot e finalizzati'!M124</f>
        <v>1390</v>
      </c>
      <c r="I124" s="66">
        <f>+'Cons spec tot e finalizzati'!N124-'Cons spec tot e finalizzati'!O124</f>
        <v>839</v>
      </c>
      <c r="J124" s="66">
        <f>+'Cons spec tot e finalizzati'!P124-'Cons spec tot e finalizzati'!Q124</f>
        <v>1279</v>
      </c>
      <c r="K124" s="66">
        <f>+'Cons spec tot e finalizzati'!R124-'Cons spec tot e finalizzati'!S124</f>
        <v>394</v>
      </c>
      <c r="L124" s="66">
        <f>+'Cons spec tot e finalizzati'!T124-'Cons spec tot e finalizzati'!U124</f>
        <v>458</v>
      </c>
      <c r="M124" s="66">
        <f>+'Cons spec tot e finalizzati'!V124-'Cons spec tot e finalizzati'!W124</f>
        <v>244</v>
      </c>
    </row>
    <row r="125" spans="1:13" s="30" customFormat="1" ht="12.75">
      <c r="A125" s="27"/>
      <c r="B125" s="22" t="s">
        <v>26</v>
      </c>
      <c r="C125" s="2"/>
      <c r="D125" s="43">
        <f>+'Cons spec tot e finalizzati'!D125-'Cons spec tot e finalizzati'!E125</f>
        <v>171</v>
      </c>
      <c r="E125" s="43">
        <f>+'Cons spec tot e finalizzati'!F125-'Cons spec tot e finalizzati'!G125</f>
        <v>72</v>
      </c>
      <c r="F125" s="43">
        <f>+'Cons spec tot e finalizzati'!H125-'Cons spec tot e finalizzati'!I125</f>
        <v>103</v>
      </c>
      <c r="G125" s="52">
        <f>+'Cons spec tot e finalizzati'!J125-'Cons spec tot e finalizzati'!K125</f>
        <v>120</v>
      </c>
      <c r="H125" s="43">
        <f>+'Cons spec tot e finalizzati'!L125-'Cons spec tot e finalizzati'!M125</f>
        <v>99</v>
      </c>
      <c r="I125" s="43">
        <f>+'Cons spec tot e finalizzati'!N125-'Cons spec tot e finalizzati'!O125</f>
        <v>192</v>
      </c>
      <c r="J125" s="43">
        <f>+'Cons spec tot e finalizzati'!P125-'Cons spec tot e finalizzati'!Q125</f>
        <v>375</v>
      </c>
      <c r="K125" s="43">
        <f>+'Cons spec tot e finalizzati'!R125-'Cons spec tot e finalizzati'!S125</f>
        <v>151</v>
      </c>
      <c r="L125" s="43">
        <f>+'Cons spec tot e finalizzati'!T125-'Cons spec tot e finalizzati'!U125</f>
        <v>227</v>
      </c>
      <c r="M125" s="43">
        <f>+'Cons spec tot e finalizzati'!V125-'Cons spec tot e finalizzati'!W125</f>
        <v>116</v>
      </c>
    </row>
    <row r="126" spans="1:13" s="2" customFormat="1" ht="12.75">
      <c r="A126" s="122"/>
      <c r="B126" s="21" t="s">
        <v>55</v>
      </c>
      <c r="D126" s="43">
        <f>+'Cons spec tot e finalizzati'!D126-'Cons spec tot e finalizzati'!E126</f>
        <v>25</v>
      </c>
      <c r="E126" s="43">
        <f>+'Cons spec tot e finalizzati'!F126-'Cons spec tot e finalizzati'!G126</f>
        <v>0</v>
      </c>
      <c r="F126" s="43">
        <f>+'Cons spec tot e finalizzati'!H126-'Cons spec tot e finalizzati'!I126</f>
        <v>0</v>
      </c>
      <c r="G126" s="52">
        <f>+'Cons spec tot e finalizzati'!J126-'Cons spec tot e finalizzati'!K126</f>
        <v>0</v>
      </c>
      <c r="H126" s="43">
        <f>+'Cons spec tot e finalizzati'!L126-'Cons spec tot e finalizzati'!M126</f>
        <v>0</v>
      </c>
      <c r="I126" s="43">
        <f>+'Cons spec tot e finalizzati'!N126-'Cons spec tot e finalizzati'!O126</f>
        <v>0</v>
      </c>
      <c r="J126" s="43">
        <f>+'Cons spec tot e finalizzati'!P126-'Cons spec tot e finalizzati'!Q126</f>
        <v>0</v>
      </c>
      <c r="K126" s="43">
        <f>+'Cons spec tot e finalizzati'!R126-'Cons spec tot e finalizzati'!S126</f>
        <v>0</v>
      </c>
      <c r="L126" s="43">
        <f>+'Cons spec tot e finalizzati'!T126-'Cons spec tot e finalizzati'!U126</f>
        <v>0</v>
      </c>
      <c r="M126" s="43">
        <f>+'Cons spec tot e finalizzati'!V126-'Cons spec tot e finalizzati'!W126</f>
        <v>0</v>
      </c>
    </row>
    <row r="127" spans="1:13" s="2" customFormat="1" ht="12.75">
      <c r="A127" s="27"/>
      <c r="B127" s="22" t="s">
        <v>95</v>
      </c>
      <c r="D127" s="49">
        <f>+'Cons spec tot e finalizzati'!D127-'Cons spec tot e finalizzati'!E127</f>
        <v>350</v>
      </c>
      <c r="E127" s="49">
        <f>+'Cons spec tot e finalizzati'!F127-'Cons spec tot e finalizzati'!G127</f>
        <v>983</v>
      </c>
      <c r="F127" s="44">
        <f>+'Cons spec tot e finalizzati'!H127-'Cons spec tot e finalizzati'!I127</f>
        <v>744</v>
      </c>
      <c r="G127" s="50">
        <f>+'Cons spec tot e finalizzati'!J127-'Cons spec tot e finalizzati'!K127</f>
        <v>1161</v>
      </c>
      <c r="H127" s="44">
        <f>+'Cons spec tot e finalizzati'!L127-'Cons spec tot e finalizzati'!M127</f>
        <v>780</v>
      </c>
      <c r="I127" s="43">
        <f>+'Cons spec tot e finalizzati'!N127-'Cons spec tot e finalizzati'!O127</f>
        <v>133</v>
      </c>
      <c r="J127" s="44">
        <f>+'Cons spec tot e finalizzati'!P127-'Cons spec tot e finalizzati'!Q127</f>
        <v>462</v>
      </c>
      <c r="K127" s="44">
        <f>+'Cons spec tot e finalizzati'!R127-'Cons spec tot e finalizzati'!S127</f>
        <v>101</v>
      </c>
      <c r="L127" s="44">
        <f>+'Cons spec tot e finalizzati'!T127-'Cons spec tot e finalizzati'!U127</f>
        <v>17</v>
      </c>
      <c r="M127" s="44">
        <f>+'Cons spec tot e finalizzati'!V127-'Cons spec tot e finalizzati'!W127</f>
        <v>26</v>
      </c>
    </row>
    <row r="128" spans="1:13" s="2" customFormat="1" ht="12.75">
      <c r="A128" s="27"/>
      <c r="B128" s="22" t="s">
        <v>56</v>
      </c>
      <c r="C128" s="32"/>
      <c r="D128" s="67">
        <f>+'Cons spec tot e finalizzati'!D128-'Cons spec tot e finalizzati'!E128</f>
        <v>1194</v>
      </c>
      <c r="E128" s="52">
        <f>+'Cons spec tot e finalizzati'!F128-'Cons spec tot e finalizzati'!G128</f>
        <v>213</v>
      </c>
      <c r="F128" s="67">
        <f>+'Cons spec tot e finalizzati'!H128-'Cons spec tot e finalizzati'!I128</f>
        <v>171</v>
      </c>
      <c r="G128" s="52">
        <f>+'Cons spec tot e finalizzati'!J128-'Cons spec tot e finalizzati'!K128</f>
        <v>160</v>
      </c>
      <c r="H128" s="52">
        <f>+'Cons spec tot e finalizzati'!L128-'Cons spec tot e finalizzati'!M128</f>
        <v>147</v>
      </c>
      <c r="I128" s="52">
        <f>+'Cons spec tot e finalizzati'!N128-'Cons spec tot e finalizzati'!O128</f>
        <v>211</v>
      </c>
      <c r="J128" s="52">
        <f>+'Cons spec tot e finalizzati'!P128-'Cons spec tot e finalizzati'!Q128</f>
        <v>286</v>
      </c>
      <c r="K128" s="52">
        <f>+'Cons spec tot e finalizzati'!R128-'Cons spec tot e finalizzati'!S128</f>
        <v>54</v>
      </c>
      <c r="L128" s="52">
        <f>+'Cons spec tot e finalizzati'!T128-'Cons spec tot e finalizzati'!U128</f>
        <v>158</v>
      </c>
      <c r="M128" s="52">
        <f>+'Cons spec tot e finalizzati'!V128-'Cons spec tot e finalizzati'!W128</f>
        <v>16</v>
      </c>
    </row>
    <row r="129" spans="1:13" s="2" customFormat="1" ht="12.75">
      <c r="A129" s="27"/>
      <c r="B129" s="22" t="s">
        <v>174</v>
      </c>
      <c r="C129" s="32"/>
      <c r="D129" s="67">
        <f>+'Cons spec tot e finalizzati'!D129-'Cons spec tot e finalizzati'!E129</f>
        <v>0</v>
      </c>
      <c r="E129" s="52">
        <f>+'Cons spec tot e finalizzati'!F129-'Cons spec tot e finalizzati'!G129</f>
        <v>0</v>
      </c>
      <c r="F129" s="67">
        <f>+'Cons spec tot e finalizzati'!H129-'Cons spec tot e finalizzati'!I129</f>
        <v>0</v>
      </c>
      <c r="G129" s="52">
        <f>+'Cons spec tot e finalizzati'!J129-'Cons spec tot e finalizzati'!K129</f>
        <v>0</v>
      </c>
      <c r="H129" s="52">
        <f>+'Cons spec tot e finalizzati'!L129-'Cons spec tot e finalizzati'!M129</f>
        <v>47</v>
      </c>
      <c r="I129" s="52">
        <f>+'Cons spec tot e finalizzati'!N129-'Cons spec tot e finalizzati'!O129</f>
        <v>56</v>
      </c>
      <c r="J129" s="52">
        <f>+'Cons spec tot e finalizzati'!P129-'Cons spec tot e finalizzati'!Q129</f>
        <v>52</v>
      </c>
      <c r="K129" s="52">
        <f>+'Cons spec tot e finalizzati'!R129-'Cons spec tot e finalizzati'!S129</f>
        <v>45</v>
      </c>
      <c r="L129" s="52">
        <f>+'Cons spec tot e finalizzati'!T129-'Cons spec tot e finalizzati'!U129</f>
        <v>20</v>
      </c>
      <c r="M129" s="52">
        <f>+'Cons spec tot e finalizzati'!V129-'Cons spec tot e finalizzati'!W129</f>
        <v>25</v>
      </c>
    </row>
    <row r="130" spans="1:13" s="30" customFormat="1" ht="12.75">
      <c r="A130" s="57"/>
      <c r="B130" s="155" t="s">
        <v>29</v>
      </c>
      <c r="C130" s="158"/>
      <c r="D130" s="69">
        <f>+'Cons spec tot e finalizzati'!D130-'Cons spec tot e finalizzati'!E130</f>
        <v>306</v>
      </c>
      <c r="E130" s="69">
        <f>+'Cons spec tot e finalizzati'!F130-'Cons spec tot e finalizzati'!G130</f>
        <v>380</v>
      </c>
      <c r="F130" s="69">
        <f>+'Cons spec tot e finalizzati'!H130-'Cons spec tot e finalizzati'!I130</f>
        <v>331</v>
      </c>
      <c r="G130" s="64">
        <f>+'Cons spec tot e finalizzati'!J130-'Cons spec tot e finalizzati'!K130</f>
        <v>335</v>
      </c>
      <c r="H130" s="69">
        <f>+'Cons spec tot e finalizzati'!L130-'Cons spec tot e finalizzati'!M130</f>
        <v>317</v>
      </c>
      <c r="I130" s="69">
        <f>+'Cons spec tot e finalizzati'!N130-'Cons spec tot e finalizzati'!O130</f>
        <v>247</v>
      </c>
      <c r="J130" s="69">
        <f>+'Cons spec tot e finalizzati'!P130-'Cons spec tot e finalizzati'!Q130</f>
        <v>104</v>
      </c>
      <c r="K130" s="69">
        <f>+'Cons spec tot e finalizzati'!R130-'Cons spec tot e finalizzati'!S130</f>
        <v>43</v>
      </c>
      <c r="L130" s="69">
        <f>+'Cons spec tot e finalizzati'!T130-'Cons spec tot e finalizzati'!U130</f>
        <v>36</v>
      </c>
      <c r="M130" s="69">
        <f>+'Cons spec tot e finalizzati'!V130-'Cons spec tot e finalizzati'!W130</f>
        <v>61</v>
      </c>
    </row>
    <row r="131" spans="1:13" s="2" customFormat="1" ht="12.75">
      <c r="A131" s="114" t="s">
        <v>112</v>
      </c>
      <c r="B131" s="115"/>
      <c r="C131" s="115"/>
      <c r="D131" s="66">
        <f>+'Cons spec tot e finalizzati'!D131-'Cons spec tot e finalizzati'!E131</f>
        <v>1559</v>
      </c>
      <c r="E131" s="66">
        <f>+'Cons spec tot e finalizzati'!F131-'Cons spec tot e finalizzati'!G131</f>
        <v>2720.5</v>
      </c>
      <c r="F131" s="66">
        <f>+'Cons spec tot e finalizzati'!H131-'Cons spec tot e finalizzati'!I131</f>
        <v>2095</v>
      </c>
      <c r="G131" s="66">
        <f>+'Cons spec tot e finalizzati'!J131-'Cons spec tot e finalizzati'!K131</f>
        <v>3629</v>
      </c>
      <c r="H131" s="66">
        <f>+'Cons spec tot e finalizzati'!L131-'Cons spec tot e finalizzati'!M131</f>
        <v>2242</v>
      </c>
      <c r="I131" s="66">
        <f>+'Cons spec tot e finalizzati'!N131-'Cons spec tot e finalizzati'!O131</f>
        <v>1745</v>
      </c>
      <c r="J131" s="66">
        <f>+'Cons spec tot e finalizzati'!P131-'Cons spec tot e finalizzati'!Q131</f>
        <v>2805</v>
      </c>
      <c r="K131" s="66">
        <f>+'Cons spec tot e finalizzati'!R131-'Cons spec tot e finalizzati'!S131</f>
        <v>2584</v>
      </c>
      <c r="L131" s="66">
        <f>+'Cons spec tot e finalizzati'!T131-'Cons spec tot e finalizzati'!U131</f>
        <v>2894</v>
      </c>
      <c r="M131" s="66">
        <f>+'Cons spec tot e finalizzati'!V131-'Cons spec tot e finalizzati'!W131</f>
        <v>3063</v>
      </c>
    </row>
    <row r="132" spans="1:13" s="2" customFormat="1" ht="12.75">
      <c r="A132" s="27"/>
      <c r="B132" s="10" t="s">
        <v>113</v>
      </c>
      <c r="C132" s="32"/>
      <c r="D132" s="105">
        <f>+'Cons spec tot e finalizzati'!D132-'Cons spec tot e finalizzati'!E132</f>
        <v>144</v>
      </c>
      <c r="E132" s="105">
        <f>+'Cons spec tot e finalizzati'!F132-'Cons spec tot e finalizzati'!G132</f>
        <v>444</v>
      </c>
      <c r="F132" s="105">
        <f>+'Cons spec tot e finalizzati'!H132-'Cons spec tot e finalizzati'!I132</f>
        <v>428</v>
      </c>
      <c r="G132" s="52">
        <f>+'Cons spec tot e finalizzati'!J132-'Cons spec tot e finalizzati'!K132</f>
        <v>207</v>
      </c>
      <c r="H132" s="49">
        <f>+'Cons spec tot e finalizzati'!L132-'Cons spec tot e finalizzati'!M132</f>
        <v>221</v>
      </c>
      <c r="I132" s="49">
        <f>+'Cons spec tot e finalizzati'!N132-'Cons spec tot e finalizzati'!O132</f>
        <v>92</v>
      </c>
      <c r="J132" s="49">
        <f>+'Cons spec tot e finalizzati'!P132-'Cons spec tot e finalizzati'!Q132</f>
        <v>109</v>
      </c>
      <c r="K132" s="49">
        <f>+'Cons spec tot e finalizzati'!R132-'Cons spec tot e finalizzati'!S132</f>
        <v>135</v>
      </c>
      <c r="L132" s="49">
        <f>+'Cons spec tot e finalizzati'!T132-'Cons spec tot e finalizzati'!U132</f>
        <v>105</v>
      </c>
      <c r="M132" s="49">
        <f>+'Cons spec tot e finalizzati'!V132-'Cons spec tot e finalizzati'!W132</f>
        <v>181</v>
      </c>
    </row>
    <row r="133" spans="1:13" s="2" customFormat="1" ht="12.75">
      <c r="A133" s="27"/>
      <c r="B133" s="10" t="s">
        <v>99</v>
      </c>
      <c r="D133" s="105">
        <f>+'Cons spec tot e finalizzati'!D133-'Cons spec tot e finalizzati'!E133</f>
        <v>0</v>
      </c>
      <c r="E133" s="105">
        <f>+'Cons spec tot e finalizzati'!F133-'Cons spec tot e finalizzati'!G133</f>
        <v>0</v>
      </c>
      <c r="F133" s="105">
        <f>+'Cons spec tot e finalizzati'!H133-'Cons spec tot e finalizzati'!I133</f>
        <v>0</v>
      </c>
      <c r="G133" s="52">
        <f>+'Cons spec tot e finalizzati'!J133-'Cons spec tot e finalizzati'!K133</f>
        <v>63</v>
      </c>
      <c r="H133" s="49">
        <f>+'Cons spec tot e finalizzati'!L133-'Cons spec tot e finalizzati'!M133</f>
        <v>34</v>
      </c>
      <c r="I133" s="49">
        <f>+'Cons spec tot e finalizzati'!N133-'Cons spec tot e finalizzati'!O133</f>
        <v>0</v>
      </c>
      <c r="J133" s="49">
        <f>+'Cons spec tot e finalizzati'!P133-'Cons spec tot e finalizzati'!Q133</f>
        <v>0</v>
      </c>
      <c r="K133" s="49">
        <f>+'Cons spec tot e finalizzati'!R133-'Cons spec tot e finalizzati'!S133</f>
        <v>0</v>
      </c>
      <c r="L133" s="49">
        <f>+'Cons spec tot e finalizzati'!T133-'Cons spec tot e finalizzati'!U133</f>
        <v>0</v>
      </c>
      <c r="M133" s="49">
        <f>+'Cons spec tot e finalizzati'!V133-'Cons spec tot e finalizzati'!W133</f>
        <v>0</v>
      </c>
    </row>
    <row r="134" spans="1:13" s="2" customFormat="1" ht="12.75">
      <c r="A134" s="27"/>
      <c r="B134" s="22" t="s">
        <v>96</v>
      </c>
      <c r="D134" s="105">
        <f>+'Cons spec tot e finalizzati'!D134-'Cons spec tot e finalizzati'!E134</f>
        <v>15</v>
      </c>
      <c r="E134" s="105">
        <f>+'Cons spec tot e finalizzati'!F134-'Cons spec tot e finalizzati'!G134</f>
        <v>49</v>
      </c>
      <c r="F134" s="105">
        <f>+'Cons spec tot e finalizzati'!H134-'Cons spec tot e finalizzati'!I134</f>
        <v>17</v>
      </c>
      <c r="G134" s="52">
        <f>+'Cons spec tot e finalizzati'!J134-'Cons spec tot e finalizzati'!K134</f>
        <v>1</v>
      </c>
      <c r="H134" s="49">
        <f>+'Cons spec tot e finalizzati'!L134-'Cons spec tot e finalizzati'!M134</f>
        <v>12</v>
      </c>
      <c r="I134" s="49">
        <f>+'Cons spec tot e finalizzati'!N134-'Cons spec tot e finalizzati'!O134</f>
        <v>21</v>
      </c>
      <c r="J134" s="49">
        <f>+'Cons spec tot e finalizzati'!P134-'Cons spec tot e finalizzati'!Q134</f>
        <v>163</v>
      </c>
      <c r="K134" s="49">
        <f>+'Cons spec tot e finalizzati'!R134-'Cons spec tot e finalizzati'!S134</f>
        <v>82</v>
      </c>
      <c r="L134" s="49">
        <f>+'Cons spec tot e finalizzati'!T134-'Cons spec tot e finalizzati'!U134</f>
        <v>40</v>
      </c>
      <c r="M134" s="49">
        <f>+'Cons spec tot e finalizzati'!V134-'Cons spec tot e finalizzati'!W134</f>
        <v>45</v>
      </c>
    </row>
    <row r="135" spans="1:13" s="2" customFormat="1" ht="12.75">
      <c r="A135" s="27"/>
      <c r="B135" s="22" t="s">
        <v>98</v>
      </c>
      <c r="D135" s="49">
        <f>+'Cons spec tot e finalizzati'!D135-'Cons spec tot e finalizzati'!E135</f>
        <v>0</v>
      </c>
      <c r="E135" s="49">
        <f>+'Cons spec tot e finalizzati'!F135-'Cons spec tot e finalizzati'!G135</f>
        <v>131</v>
      </c>
      <c r="F135" s="49">
        <f>+'Cons spec tot e finalizzati'!H135-'Cons spec tot e finalizzati'!I135</f>
        <v>81</v>
      </c>
      <c r="G135" s="52">
        <f>+'Cons spec tot e finalizzati'!J135-'Cons spec tot e finalizzati'!K135</f>
        <v>331</v>
      </c>
      <c r="H135" s="71">
        <f>+'Cons spec tot e finalizzati'!L135-'Cons spec tot e finalizzati'!M135</f>
        <v>245</v>
      </c>
      <c r="I135" s="71">
        <f>+'Cons spec tot e finalizzati'!N135-'Cons spec tot e finalizzati'!O135</f>
        <v>164</v>
      </c>
      <c r="J135" s="71">
        <f>+'Cons spec tot e finalizzati'!P135-'Cons spec tot e finalizzati'!Q135</f>
        <v>170</v>
      </c>
      <c r="K135" s="71">
        <f>+'Cons spec tot e finalizzati'!R135-'Cons spec tot e finalizzati'!S135</f>
        <v>202</v>
      </c>
      <c r="L135" s="71">
        <f>+'Cons spec tot e finalizzati'!T135-'Cons spec tot e finalizzati'!U135</f>
        <v>220</v>
      </c>
      <c r="M135" s="71">
        <f>+'Cons spec tot e finalizzati'!V135-'Cons spec tot e finalizzati'!W135</f>
        <v>250</v>
      </c>
    </row>
    <row r="136" spans="1:13" s="2" customFormat="1" ht="12.75">
      <c r="A136" s="27"/>
      <c r="B136" s="22" t="s">
        <v>100</v>
      </c>
      <c r="D136" s="88">
        <f>+'Cons spec tot e finalizzati'!D136-'Cons spec tot e finalizzati'!E136</f>
        <v>0</v>
      </c>
      <c r="E136" s="88">
        <f>+'Cons spec tot e finalizzati'!F136-'Cons spec tot e finalizzati'!G136</f>
        <v>0</v>
      </c>
      <c r="F136" s="88">
        <f>+'Cons spec tot e finalizzati'!H136-'Cons spec tot e finalizzati'!I136</f>
        <v>0</v>
      </c>
      <c r="G136" s="93">
        <f>+'Cons spec tot e finalizzati'!J136-'Cons spec tot e finalizzati'!K136</f>
        <v>27</v>
      </c>
      <c r="H136" s="63">
        <f>+'Cons spec tot e finalizzati'!L136-'Cons spec tot e finalizzati'!M136</f>
        <v>55</v>
      </c>
      <c r="I136" s="63">
        <f>+'Cons spec tot e finalizzati'!N136-'Cons spec tot e finalizzati'!O136</f>
        <v>31</v>
      </c>
      <c r="J136" s="63">
        <f>+'Cons spec tot e finalizzati'!P136-'Cons spec tot e finalizzati'!Q136</f>
        <v>0</v>
      </c>
      <c r="K136" s="63">
        <f>+'Cons spec tot e finalizzati'!R136-'Cons spec tot e finalizzati'!S136</f>
        <v>0</v>
      </c>
      <c r="L136" s="63">
        <f>+'Cons spec tot e finalizzati'!T136-'Cons spec tot e finalizzati'!U136</f>
        <v>0</v>
      </c>
      <c r="M136" s="63">
        <f>+'Cons spec tot e finalizzati'!V136-'Cons spec tot e finalizzati'!W136</f>
        <v>0</v>
      </c>
    </row>
    <row r="137" spans="1:13" s="32" customFormat="1" ht="12.75">
      <c r="A137" s="27"/>
      <c r="B137" s="22" t="s">
        <v>101</v>
      </c>
      <c r="C137" s="2"/>
      <c r="D137" s="88">
        <f>+'Cons spec tot e finalizzati'!D137-'Cons spec tot e finalizzati'!E137</f>
        <v>0</v>
      </c>
      <c r="E137" s="88">
        <f>+'Cons spec tot e finalizzati'!F137-'Cons spec tot e finalizzati'!G137</f>
        <v>0</v>
      </c>
      <c r="F137" s="88">
        <f>+'Cons spec tot e finalizzati'!H137-'Cons spec tot e finalizzati'!I137</f>
        <v>0</v>
      </c>
      <c r="G137" s="93">
        <f>+'Cons spec tot e finalizzati'!J137-'Cons spec tot e finalizzati'!K137</f>
        <v>1820</v>
      </c>
      <c r="H137" s="63">
        <f>+'Cons spec tot e finalizzati'!L137-'Cons spec tot e finalizzati'!M137</f>
        <v>1187</v>
      </c>
      <c r="I137" s="63">
        <f>+'Cons spec tot e finalizzati'!N137-'Cons spec tot e finalizzati'!O137</f>
        <v>1209</v>
      </c>
      <c r="J137" s="63">
        <f>+'Cons spec tot e finalizzati'!P137-'Cons spec tot e finalizzati'!Q137</f>
        <v>2174</v>
      </c>
      <c r="K137" s="63">
        <f>+'Cons spec tot e finalizzati'!R137-'Cons spec tot e finalizzati'!S137</f>
        <v>2100</v>
      </c>
      <c r="L137" s="63">
        <f>+'Cons spec tot e finalizzati'!T137-'Cons spec tot e finalizzati'!U137</f>
        <v>2326</v>
      </c>
      <c r="M137" s="63">
        <f>+'Cons spec tot e finalizzati'!V137-'Cons spec tot e finalizzati'!W137</f>
        <v>2550</v>
      </c>
    </row>
    <row r="138" spans="1:13" s="32" customFormat="1" ht="12.75">
      <c r="A138" s="27"/>
      <c r="B138" s="21" t="s">
        <v>97</v>
      </c>
      <c r="C138" s="2"/>
      <c r="D138" s="88">
        <f>+'Cons spec tot e finalizzati'!D138-'Cons spec tot e finalizzati'!E138</f>
        <v>0</v>
      </c>
      <c r="E138" s="88">
        <f>+'Cons spec tot e finalizzati'!F138-'Cons spec tot e finalizzati'!G138</f>
        <v>0</v>
      </c>
      <c r="F138" s="88">
        <f>+'Cons spec tot e finalizzati'!H138-'Cons spec tot e finalizzati'!I138</f>
        <v>178</v>
      </c>
      <c r="G138" s="93">
        <f>+'Cons spec tot e finalizzati'!J138-'Cons spec tot e finalizzati'!K138</f>
        <v>147</v>
      </c>
      <c r="H138" s="63">
        <f>+'Cons spec tot e finalizzati'!L138-'Cons spec tot e finalizzati'!M138</f>
        <v>293</v>
      </c>
      <c r="I138" s="63">
        <f>+'Cons spec tot e finalizzati'!N138-'Cons spec tot e finalizzati'!O138</f>
        <v>144</v>
      </c>
      <c r="J138" s="63">
        <f>+'Cons spec tot e finalizzati'!P138-'Cons spec tot e finalizzati'!Q138</f>
        <v>61</v>
      </c>
      <c r="K138" s="63">
        <f>+'Cons spec tot e finalizzati'!R138-'Cons spec tot e finalizzati'!S138</f>
        <v>65</v>
      </c>
      <c r="L138" s="63">
        <f>+'Cons spec tot e finalizzati'!T138-'Cons spec tot e finalizzati'!U138</f>
        <v>29</v>
      </c>
      <c r="M138" s="63">
        <f>+'Cons spec tot e finalizzati'!V138-'Cons spec tot e finalizzati'!W138</f>
        <v>7</v>
      </c>
    </row>
    <row r="139" spans="1:13" s="32" customFormat="1" ht="12.75">
      <c r="A139" s="27"/>
      <c r="B139" s="22" t="s">
        <v>85</v>
      </c>
      <c r="C139" s="2"/>
      <c r="D139" s="88">
        <f>+'Cons spec tot e finalizzati'!D139-'Cons spec tot e finalizzati'!E139</f>
        <v>124</v>
      </c>
      <c r="E139" s="88">
        <f>+'Cons spec tot e finalizzati'!F139-'Cons spec tot e finalizzati'!G139</f>
        <v>472</v>
      </c>
      <c r="F139" s="88">
        <f>+'Cons spec tot e finalizzati'!H139-'Cons spec tot e finalizzati'!I139</f>
        <v>587</v>
      </c>
      <c r="G139" s="93">
        <f>+'Cons spec tot e finalizzati'!J139-'Cons spec tot e finalizzati'!K139</f>
        <v>1033</v>
      </c>
      <c r="H139" s="63">
        <f>+'Cons spec tot e finalizzati'!L139-'Cons spec tot e finalizzati'!M139</f>
        <v>195</v>
      </c>
      <c r="I139" s="63">
        <f>+'Cons spec tot e finalizzati'!N139-'Cons spec tot e finalizzati'!O139</f>
        <v>84</v>
      </c>
      <c r="J139" s="63">
        <f>+'Cons spec tot e finalizzati'!P139-'Cons spec tot e finalizzati'!Q139</f>
        <v>128</v>
      </c>
      <c r="K139" s="63">
        <f>+'Cons spec tot e finalizzati'!R139-'Cons spec tot e finalizzati'!S139</f>
        <v>0</v>
      </c>
      <c r="L139" s="63">
        <f>+'Cons spec tot e finalizzati'!T139-'Cons spec tot e finalizzati'!U139</f>
        <v>174</v>
      </c>
      <c r="M139" s="63">
        <f>+'Cons spec tot e finalizzati'!V139-'Cons spec tot e finalizzati'!W139</f>
        <v>30</v>
      </c>
    </row>
    <row r="140" spans="1:13" s="32" customFormat="1" ht="12.75">
      <c r="A140" s="112"/>
      <c r="B140" s="23" t="s">
        <v>58</v>
      </c>
      <c r="C140" s="2"/>
      <c r="D140" s="88">
        <f>+'Cons spec tot e finalizzati'!D140-'Cons spec tot e finalizzati'!E140</f>
        <v>284</v>
      </c>
      <c r="E140" s="88">
        <f>+'Cons spec tot e finalizzati'!F140-'Cons spec tot e finalizzati'!G140</f>
        <v>262</v>
      </c>
      <c r="F140" s="88">
        <f>+'Cons spec tot e finalizzati'!H140-'Cons spec tot e finalizzati'!I140</f>
        <v>48</v>
      </c>
      <c r="G140" s="93">
        <f>+'Cons spec tot e finalizzati'!J140-'Cons spec tot e finalizzati'!K140</f>
        <v>0</v>
      </c>
      <c r="H140" s="63">
        <f>+'Cons spec tot e finalizzati'!L140-'Cons spec tot e finalizzati'!M140</f>
        <v>0</v>
      </c>
      <c r="I140" s="63">
        <f>+'Cons spec tot e finalizzati'!N140-'Cons spec tot e finalizzati'!O140</f>
        <v>0</v>
      </c>
      <c r="J140" s="63">
        <f>+'Cons spec tot e finalizzati'!P140-'Cons spec tot e finalizzati'!Q140</f>
        <v>0</v>
      </c>
      <c r="K140" s="63">
        <f>+'Cons spec tot e finalizzati'!R140-'Cons spec tot e finalizzati'!S140</f>
        <v>0</v>
      </c>
      <c r="L140" s="63">
        <f>+'Cons spec tot e finalizzati'!T140-'Cons spec tot e finalizzati'!U140</f>
        <v>0</v>
      </c>
      <c r="M140" s="63">
        <f>+'Cons spec tot e finalizzati'!V140-'Cons spec tot e finalizzati'!W140</f>
        <v>0</v>
      </c>
    </row>
    <row r="141" spans="1:13" s="32" customFormat="1" ht="12.75">
      <c r="A141" s="112"/>
      <c r="B141" s="23" t="s">
        <v>25</v>
      </c>
      <c r="C141" s="2"/>
      <c r="D141" s="88">
        <f>+'Cons spec tot e finalizzati'!D141-'Cons spec tot e finalizzati'!E141</f>
        <v>727</v>
      </c>
      <c r="E141" s="88">
        <f>+'Cons spec tot e finalizzati'!F141-'Cons spec tot e finalizzati'!G141</f>
        <v>1362.5</v>
      </c>
      <c r="F141" s="88">
        <f>+'Cons spec tot e finalizzati'!H141-'Cons spec tot e finalizzati'!I141</f>
        <v>756</v>
      </c>
      <c r="G141" s="93">
        <f>+'Cons spec tot e finalizzati'!J141-'Cons spec tot e finalizzati'!K141</f>
        <v>0</v>
      </c>
      <c r="H141" s="63">
        <f>+'Cons spec tot e finalizzati'!L141-'Cons spec tot e finalizzati'!M141</f>
        <v>0</v>
      </c>
      <c r="I141" s="63">
        <f>+'Cons spec tot e finalizzati'!N141-'Cons spec tot e finalizzati'!O141</f>
        <v>0</v>
      </c>
      <c r="J141" s="63">
        <f>+'Cons spec tot e finalizzati'!P141-'Cons spec tot e finalizzati'!Q141</f>
        <v>0</v>
      </c>
      <c r="K141" s="63">
        <f>+'Cons spec tot e finalizzati'!R141-'Cons spec tot e finalizzati'!S141</f>
        <v>0</v>
      </c>
      <c r="L141" s="63">
        <f>+'Cons spec tot e finalizzati'!T141-'Cons spec tot e finalizzati'!U141</f>
        <v>0</v>
      </c>
      <c r="M141" s="63">
        <f>+'Cons spec tot e finalizzati'!V141-'Cons spec tot e finalizzati'!W141</f>
        <v>0</v>
      </c>
    </row>
    <row r="142" spans="1:13" s="32" customFormat="1" ht="12.75">
      <c r="A142" s="156"/>
      <c r="B142" s="54" t="s">
        <v>50</v>
      </c>
      <c r="C142" s="157"/>
      <c r="D142" s="97">
        <f>+'Cons spec tot e finalizzati'!D142-'Cons spec tot e finalizzati'!E142</f>
        <v>265</v>
      </c>
      <c r="E142" s="97">
        <f>+'Cons spec tot e finalizzati'!F142-'Cons spec tot e finalizzati'!G142</f>
        <v>0</v>
      </c>
      <c r="F142" s="97">
        <f>+'Cons spec tot e finalizzati'!H142-'Cons spec tot e finalizzati'!I142</f>
        <v>0</v>
      </c>
      <c r="G142" s="99">
        <f>+'Cons spec tot e finalizzati'!J142-'Cons spec tot e finalizzati'!K142</f>
        <v>0</v>
      </c>
      <c r="H142" s="97">
        <f>+'Cons spec tot e finalizzati'!L142-'Cons spec tot e finalizzati'!M142</f>
        <v>0</v>
      </c>
      <c r="I142" s="97">
        <f>+'Cons spec tot e finalizzati'!N142-'Cons spec tot e finalizzati'!O142</f>
        <v>0</v>
      </c>
      <c r="J142" s="97">
        <f>+'Cons spec tot e finalizzati'!P142-'Cons spec tot e finalizzati'!Q142</f>
        <v>0</v>
      </c>
      <c r="K142" s="97">
        <f>+'Cons spec tot e finalizzati'!R142-'Cons spec tot e finalizzati'!S142</f>
        <v>0</v>
      </c>
      <c r="L142" s="97">
        <f>+'Cons spec tot e finalizzati'!T142-'Cons spec tot e finalizzati'!U142</f>
        <v>0</v>
      </c>
      <c r="M142" s="97">
        <f>+'Cons spec tot e finalizzati'!V142-'Cons spec tot e finalizzati'!W142</f>
        <v>0</v>
      </c>
    </row>
    <row r="143" spans="1:13" s="2" customFormat="1" ht="12.75">
      <c r="A143" s="121" t="s">
        <v>156</v>
      </c>
      <c r="B143" s="115"/>
      <c r="C143" s="115"/>
      <c r="D143" s="65">
        <f>+'Cons spec tot e finalizzati'!D143-'Cons spec tot e finalizzati'!E143</f>
        <v>553</v>
      </c>
      <c r="E143" s="65">
        <f>+'Cons spec tot e finalizzati'!F143-'Cons spec tot e finalizzati'!G143</f>
        <v>963</v>
      </c>
      <c r="F143" s="79">
        <f>+'Cons spec tot e finalizzati'!H143-'Cons spec tot e finalizzati'!I143</f>
        <v>974</v>
      </c>
      <c r="G143" s="79">
        <f>+'Cons spec tot e finalizzati'!J143-'Cons spec tot e finalizzati'!K143</f>
        <v>64</v>
      </c>
      <c r="H143" s="65">
        <f>+'Cons spec tot e finalizzati'!L143-'Cons spec tot e finalizzati'!M143</f>
        <v>34</v>
      </c>
      <c r="I143" s="65">
        <f>+'Cons spec tot e finalizzati'!N143-'Cons spec tot e finalizzati'!O143</f>
        <v>168</v>
      </c>
      <c r="J143" s="65">
        <f>+'Cons spec tot e finalizzati'!P143-'Cons spec tot e finalizzati'!Q143</f>
        <v>99</v>
      </c>
      <c r="K143" s="65">
        <f>+'Cons spec tot e finalizzati'!R143-'Cons spec tot e finalizzati'!S143</f>
        <v>85</v>
      </c>
      <c r="L143" s="65">
        <f>+'Cons spec tot e finalizzati'!T143-'Cons spec tot e finalizzati'!U143</f>
        <v>322</v>
      </c>
      <c r="M143" s="65">
        <f>+'Cons spec tot e finalizzati'!V143-'Cons spec tot e finalizzati'!W143</f>
        <v>317</v>
      </c>
    </row>
    <row r="144" spans="1:13" s="2" customFormat="1" ht="12.75">
      <c r="A144" s="114" t="s">
        <v>120</v>
      </c>
      <c r="B144" s="115"/>
      <c r="C144" s="115"/>
      <c r="D144" s="66">
        <f>+'Cons spec tot e finalizzati'!D144-'Cons spec tot e finalizzati'!E144</f>
        <v>5299</v>
      </c>
      <c r="E144" s="66">
        <f>+'Cons spec tot e finalizzati'!F144-'Cons spec tot e finalizzati'!G144</f>
        <v>4663</v>
      </c>
      <c r="F144" s="66">
        <f>+'Cons spec tot e finalizzati'!H144-'Cons spec tot e finalizzati'!I144</f>
        <v>4467</v>
      </c>
      <c r="G144" s="66">
        <f>+'Cons spec tot e finalizzati'!J144-'Cons spec tot e finalizzati'!K144</f>
        <v>5963</v>
      </c>
      <c r="H144" s="66">
        <f>+'Cons spec tot e finalizzati'!L144-'Cons spec tot e finalizzati'!M144</f>
        <v>6525</v>
      </c>
      <c r="I144" s="66">
        <f>+'Cons spec tot e finalizzati'!N144-'Cons spec tot e finalizzati'!O144</f>
        <v>6865</v>
      </c>
      <c r="J144" s="66">
        <f>+'Cons spec tot e finalizzati'!P144-'Cons spec tot e finalizzati'!Q144</f>
        <v>6856</v>
      </c>
      <c r="K144" s="66">
        <f>+'Cons spec tot e finalizzati'!R144-'Cons spec tot e finalizzati'!S144</f>
        <v>6437</v>
      </c>
      <c r="L144" s="66">
        <f>+'Cons spec tot e finalizzati'!T144-'Cons spec tot e finalizzati'!U144</f>
        <v>6887</v>
      </c>
      <c r="M144" s="66">
        <f>+'Cons spec tot e finalizzati'!V144-'Cons spec tot e finalizzati'!W144</f>
        <v>6718</v>
      </c>
    </row>
    <row r="145" spans="1:13" s="30" customFormat="1" ht="12.75">
      <c r="A145" s="122"/>
      <c r="B145" s="21" t="s">
        <v>94</v>
      </c>
      <c r="D145" s="43">
        <f>+'Cons spec tot e finalizzati'!D145-'Cons spec tot e finalizzati'!E145</f>
        <v>940</v>
      </c>
      <c r="E145" s="43">
        <f>+'Cons spec tot e finalizzati'!F145-'Cons spec tot e finalizzati'!G145</f>
        <v>965</v>
      </c>
      <c r="F145" s="43">
        <f>+'Cons spec tot e finalizzati'!H145-'Cons spec tot e finalizzati'!I145</f>
        <v>498</v>
      </c>
      <c r="G145" s="52">
        <f>+'Cons spec tot e finalizzati'!J145-'Cons spec tot e finalizzati'!K145</f>
        <v>962</v>
      </c>
      <c r="H145" s="49">
        <f>+'Cons spec tot e finalizzati'!L145-'Cons spec tot e finalizzati'!M145</f>
        <v>2315</v>
      </c>
      <c r="I145" s="49">
        <f>+'Cons spec tot e finalizzati'!N145-'Cons spec tot e finalizzati'!O145</f>
        <v>2536</v>
      </c>
      <c r="J145" s="49">
        <f>+'Cons spec tot e finalizzati'!P145-'Cons spec tot e finalizzati'!Q145</f>
        <v>1549</v>
      </c>
      <c r="K145" s="49">
        <f>+'Cons spec tot e finalizzati'!R145-'Cons spec tot e finalizzati'!S145</f>
        <v>1325</v>
      </c>
      <c r="L145" s="49">
        <f>+'Cons spec tot e finalizzati'!T145-'Cons spec tot e finalizzati'!U145</f>
        <v>1454</v>
      </c>
      <c r="M145" s="49">
        <f>+'Cons spec tot e finalizzati'!V145-'Cons spec tot e finalizzati'!W145</f>
        <v>1455</v>
      </c>
    </row>
    <row r="146" spans="1:13" s="30" customFormat="1" ht="12.75">
      <c r="A146" s="57"/>
      <c r="B146" s="155" t="s">
        <v>11</v>
      </c>
      <c r="C146" s="158"/>
      <c r="D146" s="69">
        <f>+'Cons spec tot e finalizzati'!D146-'Cons spec tot e finalizzati'!E146</f>
        <v>4359</v>
      </c>
      <c r="E146" s="69">
        <f>+'Cons spec tot e finalizzati'!F146-'Cons spec tot e finalizzati'!G146</f>
        <v>3698</v>
      </c>
      <c r="F146" s="69">
        <f>+'Cons spec tot e finalizzati'!H146-'Cons spec tot e finalizzati'!I146</f>
        <v>3969</v>
      </c>
      <c r="G146" s="64">
        <f>+'Cons spec tot e finalizzati'!J146-'Cons spec tot e finalizzati'!K146</f>
        <v>5001</v>
      </c>
      <c r="H146" s="69">
        <f>+'Cons spec tot e finalizzati'!L146-'Cons spec tot e finalizzati'!M146</f>
        <v>4210</v>
      </c>
      <c r="I146" s="69">
        <f>+'Cons spec tot e finalizzati'!N146-'Cons spec tot e finalizzati'!O146</f>
        <v>4329</v>
      </c>
      <c r="J146" s="69">
        <f>+'Cons spec tot e finalizzati'!P146-'Cons spec tot e finalizzati'!Q146</f>
        <v>5307</v>
      </c>
      <c r="K146" s="69">
        <f>+'Cons spec tot e finalizzati'!R146-'Cons spec tot e finalizzati'!S146</f>
        <v>5112</v>
      </c>
      <c r="L146" s="69">
        <f>+'Cons spec tot e finalizzati'!T146-'Cons spec tot e finalizzati'!U146</f>
        <v>5433</v>
      </c>
      <c r="M146" s="69">
        <f>+'Cons spec tot e finalizzati'!V146-'Cons spec tot e finalizzati'!W146</f>
        <v>5263</v>
      </c>
    </row>
    <row r="147" spans="1:13" s="2" customFormat="1" ht="12.75">
      <c r="A147" s="114" t="s">
        <v>121</v>
      </c>
      <c r="B147" s="115"/>
      <c r="C147" s="115"/>
      <c r="D147" s="66">
        <f>+'Cons spec tot e finalizzati'!D147-'Cons spec tot e finalizzati'!E147</f>
        <v>275</v>
      </c>
      <c r="E147" s="66">
        <f>+'Cons spec tot e finalizzati'!F147-'Cons spec tot e finalizzati'!G147</f>
        <v>285</v>
      </c>
      <c r="F147" s="66">
        <f>+'Cons spec tot e finalizzati'!H147-'Cons spec tot e finalizzati'!I147</f>
        <v>198</v>
      </c>
      <c r="G147" s="66">
        <f>+'Cons spec tot e finalizzati'!J147-'Cons spec tot e finalizzati'!K147</f>
        <v>512</v>
      </c>
      <c r="H147" s="66">
        <f>+'Cons spec tot e finalizzati'!L147-'Cons spec tot e finalizzati'!M147</f>
        <v>690</v>
      </c>
      <c r="I147" s="66">
        <f>+'Cons spec tot e finalizzati'!N147-'Cons spec tot e finalizzati'!O147</f>
        <v>531</v>
      </c>
      <c r="J147" s="66">
        <f>+'Cons spec tot e finalizzati'!P147-'Cons spec tot e finalizzati'!Q147</f>
        <v>364</v>
      </c>
      <c r="K147" s="66">
        <f>+'Cons spec tot e finalizzati'!R147-'Cons spec tot e finalizzati'!S147</f>
        <v>187</v>
      </c>
      <c r="L147" s="66">
        <f>+'Cons spec tot e finalizzati'!T147-'Cons spec tot e finalizzati'!U147</f>
        <v>154</v>
      </c>
      <c r="M147" s="66">
        <f>+'Cons spec tot e finalizzati'!V147-'Cons spec tot e finalizzati'!W147</f>
        <v>146</v>
      </c>
    </row>
    <row r="148" spans="1:13" s="2" customFormat="1" ht="12.75">
      <c r="A148" s="9"/>
      <c r="B148" s="22" t="s">
        <v>7</v>
      </c>
      <c r="D148" s="105">
        <f>+'Cons spec tot e finalizzati'!D148-'Cons spec tot e finalizzati'!E148</f>
        <v>0</v>
      </c>
      <c r="E148" s="105">
        <f>+'Cons spec tot e finalizzati'!F148-'Cons spec tot e finalizzati'!G148</f>
        <v>0</v>
      </c>
      <c r="F148" s="105">
        <f>+'Cons spec tot e finalizzati'!H148-'Cons spec tot e finalizzati'!I148</f>
        <v>0</v>
      </c>
      <c r="G148" s="52">
        <f>+'Cons spec tot e finalizzati'!J148-'Cons spec tot e finalizzati'!K148</f>
        <v>115</v>
      </c>
      <c r="H148" s="49">
        <f>+'Cons spec tot e finalizzati'!L148-'Cons spec tot e finalizzati'!M148</f>
        <v>158</v>
      </c>
      <c r="I148" s="49">
        <f>+'Cons spec tot e finalizzati'!N148-'Cons spec tot e finalizzati'!O148</f>
        <v>163</v>
      </c>
      <c r="J148" s="49">
        <f>+'Cons spec tot e finalizzati'!P148-'Cons spec tot e finalizzati'!Q148</f>
        <v>139</v>
      </c>
      <c r="K148" s="49">
        <f>+'Cons spec tot e finalizzati'!R148-'Cons spec tot e finalizzati'!S148</f>
        <v>79</v>
      </c>
      <c r="L148" s="49">
        <f>+'Cons spec tot e finalizzati'!T148-'Cons spec tot e finalizzati'!U148</f>
        <v>65</v>
      </c>
      <c r="M148" s="49">
        <f>+'Cons spec tot e finalizzati'!V148-'Cons spec tot e finalizzati'!W148</f>
        <v>59</v>
      </c>
    </row>
    <row r="149" spans="1:13" s="2" customFormat="1" ht="12.75">
      <c r="A149" s="9"/>
      <c r="B149" s="22" t="s">
        <v>30</v>
      </c>
      <c r="D149" s="49">
        <f>+'Cons spec tot e finalizzati'!D149-'Cons spec tot e finalizzati'!E149</f>
        <v>262</v>
      </c>
      <c r="E149" s="49">
        <f>+'Cons spec tot e finalizzati'!F149-'Cons spec tot e finalizzati'!G149</f>
        <v>275</v>
      </c>
      <c r="F149" s="43">
        <f>+'Cons spec tot e finalizzati'!H149-'Cons spec tot e finalizzati'!I149</f>
        <v>187</v>
      </c>
      <c r="G149" s="52">
        <f>+'Cons spec tot e finalizzati'!J149-'Cons spec tot e finalizzati'!K149</f>
        <v>288</v>
      </c>
      <c r="H149" s="49">
        <f>+'Cons spec tot e finalizzati'!L149-'Cons spec tot e finalizzati'!M149</f>
        <v>357</v>
      </c>
      <c r="I149" s="49">
        <f>+'Cons spec tot e finalizzati'!N149-'Cons spec tot e finalizzati'!O149</f>
        <v>229</v>
      </c>
      <c r="J149" s="49">
        <f>+'Cons spec tot e finalizzati'!P149-'Cons spec tot e finalizzati'!Q149</f>
        <v>66</v>
      </c>
      <c r="K149" s="49">
        <f>+'Cons spec tot e finalizzati'!R149-'Cons spec tot e finalizzati'!S149</f>
        <v>4</v>
      </c>
      <c r="L149" s="49">
        <f>+'Cons spec tot e finalizzati'!T149-'Cons spec tot e finalizzati'!U149</f>
        <v>8</v>
      </c>
      <c r="M149" s="49">
        <f>+'Cons spec tot e finalizzati'!V149-'Cons spec tot e finalizzati'!W149</f>
        <v>8</v>
      </c>
    </row>
    <row r="150" spans="1:13" s="2" customFormat="1" ht="12.75">
      <c r="A150" s="9"/>
      <c r="B150" s="22" t="s">
        <v>31</v>
      </c>
      <c r="D150" s="49">
        <f>+'Cons spec tot e finalizzati'!D150-'Cons spec tot e finalizzati'!E150</f>
        <v>13</v>
      </c>
      <c r="E150" s="49">
        <f>+'Cons spec tot e finalizzati'!F150-'Cons spec tot e finalizzati'!G150</f>
        <v>10</v>
      </c>
      <c r="F150" s="43">
        <f>+'Cons spec tot e finalizzati'!H150-'Cons spec tot e finalizzati'!I150</f>
        <v>11</v>
      </c>
      <c r="G150" s="52">
        <f>+'Cons spec tot e finalizzati'!J150-'Cons spec tot e finalizzati'!K150</f>
        <v>7</v>
      </c>
      <c r="H150" s="49">
        <f>+'Cons spec tot e finalizzati'!L150-'Cons spec tot e finalizzati'!M150</f>
        <v>7</v>
      </c>
      <c r="I150" s="49">
        <f>+'Cons spec tot e finalizzati'!N150-'Cons spec tot e finalizzati'!O150</f>
        <v>8</v>
      </c>
      <c r="J150" s="49">
        <f>+'Cons spec tot e finalizzati'!P150-'Cons spec tot e finalizzati'!Q150</f>
        <v>11</v>
      </c>
      <c r="K150" s="49">
        <f>+'Cons spec tot e finalizzati'!R150-'Cons spec tot e finalizzati'!S150</f>
        <v>12</v>
      </c>
      <c r="L150" s="49">
        <f>+'Cons spec tot e finalizzati'!T150-'Cons spec tot e finalizzati'!U150</f>
        <v>9</v>
      </c>
      <c r="M150" s="49">
        <f>+'Cons spec tot e finalizzati'!V150-'Cons spec tot e finalizzati'!W150</f>
        <v>3</v>
      </c>
    </row>
    <row r="151" spans="1:13" s="30" customFormat="1" ht="12.75">
      <c r="A151" s="57"/>
      <c r="B151" s="155" t="s">
        <v>106</v>
      </c>
      <c r="C151" s="158"/>
      <c r="D151" s="69">
        <f>+'Cons spec tot e finalizzati'!D151-'Cons spec tot e finalizzati'!E151</f>
        <v>0</v>
      </c>
      <c r="E151" s="69">
        <f>+'Cons spec tot e finalizzati'!F151-'Cons spec tot e finalizzati'!G151</f>
        <v>0</v>
      </c>
      <c r="F151" s="69">
        <f>+'Cons spec tot e finalizzati'!H151-'Cons spec tot e finalizzati'!I151</f>
        <v>0</v>
      </c>
      <c r="G151" s="64">
        <f>+'Cons spec tot e finalizzati'!J151-'Cons spec tot e finalizzati'!K151</f>
        <v>102</v>
      </c>
      <c r="H151" s="69">
        <f>+'Cons spec tot e finalizzati'!L151-'Cons spec tot e finalizzati'!M151</f>
        <v>168</v>
      </c>
      <c r="I151" s="69">
        <f>+'Cons spec tot e finalizzati'!N151-'Cons spec tot e finalizzati'!O151</f>
        <v>131</v>
      </c>
      <c r="J151" s="69">
        <f>+'Cons spec tot e finalizzati'!P151-'Cons spec tot e finalizzati'!Q151</f>
        <v>148</v>
      </c>
      <c r="K151" s="69">
        <f>+'Cons spec tot e finalizzati'!R151-'Cons spec tot e finalizzati'!S151</f>
        <v>92</v>
      </c>
      <c r="L151" s="69">
        <f>+'Cons spec tot e finalizzati'!T151-'Cons spec tot e finalizzati'!U151</f>
        <v>72</v>
      </c>
      <c r="M151" s="69">
        <f>+'Cons spec tot e finalizzati'!V151-'Cons spec tot e finalizzati'!W151</f>
        <v>76</v>
      </c>
    </row>
    <row r="152" spans="1:13" s="2" customFormat="1" ht="12.75">
      <c r="A152" s="153" t="s">
        <v>66</v>
      </c>
      <c r="B152" s="118"/>
      <c r="C152" s="159"/>
      <c r="D152" s="148">
        <f>+'Cons spec tot e finalizzati'!D152-'Cons spec tot e finalizzati'!E152</f>
        <v>39049</v>
      </c>
      <c r="E152" s="148">
        <f>+'Cons spec tot e finalizzati'!F152-'Cons spec tot e finalizzati'!G152</f>
        <v>42137.5</v>
      </c>
      <c r="F152" s="148">
        <f>+'Cons spec tot e finalizzati'!H152-'Cons spec tot e finalizzati'!I152</f>
        <v>44669.89109473369</v>
      </c>
      <c r="G152" s="148">
        <f>+'Cons spec tot e finalizzati'!J152-'Cons spec tot e finalizzati'!K152</f>
        <v>46267</v>
      </c>
      <c r="H152" s="148">
        <f>+'Cons spec tot e finalizzati'!L152-'Cons spec tot e finalizzati'!M152</f>
        <v>49618</v>
      </c>
      <c r="I152" s="148">
        <f>+'Cons spec tot e finalizzati'!N152-'Cons spec tot e finalizzati'!O152</f>
        <v>55202</v>
      </c>
      <c r="J152" s="148">
        <f>+'Cons spec tot e finalizzati'!P152-'Cons spec tot e finalizzati'!Q152</f>
        <v>54115</v>
      </c>
      <c r="K152" s="148">
        <f>+'Cons spec tot e finalizzati'!R152-'Cons spec tot e finalizzati'!S152</f>
        <v>58442</v>
      </c>
      <c r="L152" s="148">
        <f>+'Cons spec tot e finalizzati'!T152-'Cons spec tot e finalizzati'!U152</f>
        <v>59552</v>
      </c>
      <c r="M152" s="148">
        <f>+'Cons spec tot e finalizzati'!V152-'Cons spec tot e finalizzati'!W152</f>
        <v>61762</v>
      </c>
    </row>
    <row r="153" spans="1:13" s="2" customFormat="1" ht="12.75">
      <c r="A153" s="114" t="s">
        <v>146</v>
      </c>
      <c r="B153" s="115"/>
      <c r="C153" s="117"/>
      <c r="D153" s="66">
        <f>+'Cons spec tot e finalizzati'!D153-'Cons spec tot e finalizzati'!E153</f>
        <v>13790</v>
      </c>
      <c r="E153" s="66">
        <f>+'Cons spec tot e finalizzati'!F153-'Cons spec tot e finalizzati'!G153</f>
        <v>15265</v>
      </c>
      <c r="F153" s="66">
        <f>+'Cons spec tot e finalizzati'!H153-'Cons spec tot e finalizzati'!I153</f>
        <v>16062</v>
      </c>
      <c r="G153" s="66">
        <f>+'Cons spec tot e finalizzati'!J153-'Cons spec tot e finalizzati'!K153</f>
        <v>16185</v>
      </c>
      <c r="H153" s="66">
        <f>+'Cons spec tot e finalizzati'!L153-'Cons spec tot e finalizzati'!M153</f>
        <v>17505</v>
      </c>
      <c r="I153" s="66">
        <f>+'Cons spec tot e finalizzati'!N153-'Cons spec tot e finalizzati'!O153</f>
        <v>22814</v>
      </c>
      <c r="J153" s="66">
        <f>+'Cons spec tot e finalizzati'!P153-'Cons spec tot e finalizzati'!Q153</f>
        <v>20038</v>
      </c>
      <c r="K153" s="66">
        <f>+'Cons spec tot e finalizzati'!R153-'Cons spec tot e finalizzati'!S153</f>
        <v>23586</v>
      </c>
      <c r="L153" s="66">
        <f>+'Cons spec tot e finalizzati'!T153-'Cons spec tot e finalizzati'!U153</f>
        <v>23183</v>
      </c>
      <c r="M153" s="66">
        <f>+'Cons spec tot e finalizzati'!V153-'Cons spec tot e finalizzati'!W153</f>
        <v>24139</v>
      </c>
    </row>
    <row r="154" spans="1:13" s="2" customFormat="1" ht="12.75">
      <c r="A154" s="27"/>
      <c r="B154" s="22" t="s">
        <v>7</v>
      </c>
      <c r="D154" s="49">
        <f>+'Cons spec tot e finalizzati'!D154-'Cons spec tot e finalizzati'!E154</f>
        <v>540</v>
      </c>
      <c r="E154" s="49">
        <f>+'Cons spec tot e finalizzati'!F154-'Cons spec tot e finalizzati'!G154</f>
        <v>959</v>
      </c>
      <c r="F154" s="43">
        <f>+'Cons spec tot e finalizzati'!H154-'Cons spec tot e finalizzati'!I154</f>
        <v>876</v>
      </c>
      <c r="G154" s="52">
        <f>+'Cons spec tot e finalizzati'!J154-'Cons spec tot e finalizzati'!K154</f>
        <v>912</v>
      </c>
      <c r="H154" s="49">
        <f>+'Cons spec tot e finalizzati'!L154-'Cons spec tot e finalizzati'!M154</f>
        <v>53</v>
      </c>
      <c r="I154" s="49">
        <f>+'Cons spec tot e finalizzati'!N154-'Cons spec tot e finalizzati'!O154</f>
        <v>0</v>
      </c>
      <c r="J154" s="49">
        <f>+'Cons spec tot e finalizzati'!P154-'Cons spec tot e finalizzati'!Q154</f>
        <v>19</v>
      </c>
      <c r="K154" s="49">
        <f>+'Cons spec tot e finalizzati'!R154-'Cons spec tot e finalizzati'!S154</f>
        <v>0</v>
      </c>
      <c r="L154" s="49">
        <f>+'Cons spec tot e finalizzati'!T154-'Cons spec tot e finalizzati'!U154</f>
        <v>74</v>
      </c>
      <c r="M154" s="49">
        <f>+'Cons spec tot e finalizzati'!V154-'Cons spec tot e finalizzati'!W154</f>
        <v>3</v>
      </c>
    </row>
    <row r="155" spans="1:13" s="2" customFormat="1" ht="12.75">
      <c r="A155" s="27"/>
      <c r="B155" s="21" t="s">
        <v>27</v>
      </c>
      <c r="D155" s="49">
        <f>+'Cons spec tot e finalizzati'!D155-'Cons spec tot e finalizzati'!E155</f>
        <v>5412</v>
      </c>
      <c r="E155" s="49">
        <f>+'Cons spec tot e finalizzati'!F155-'Cons spec tot e finalizzati'!G155</f>
        <v>5645</v>
      </c>
      <c r="F155" s="43">
        <f>+'Cons spec tot e finalizzati'!H155-'Cons spec tot e finalizzati'!I155</f>
        <v>5456</v>
      </c>
      <c r="G155" s="52">
        <f>+'Cons spec tot e finalizzati'!J155-'Cons spec tot e finalizzati'!K155</f>
        <v>5293</v>
      </c>
      <c r="H155" s="49">
        <f>+'Cons spec tot e finalizzati'!L155-'Cons spec tot e finalizzati'!M155</f>
        <v>5262</v>
      </c>
      <c r="I155" s="49">
        <f>+'Cons spec tot e finalizzati'!N155-'Cons spec tot e finalizzati'!O155</f>
        <v>6864</v>
      </c>
      <c r="J155" s="49">
        <f>+'Cons spec tot e finalizzati'!P155-'Cons spec tot e finalizzati'!Q155</f>
        <v>6597</v>
      </c>
      <c r="K155" s="49">
        <f>+'Cons spec tot e finalizzati'!R155-'Cons spec tot e finalizzati'!S155</f>
        <v>7017</v>
      </c>
      <c r="L155" s="49">
        <f>+'Cons spec tot e finalizzati'!T155-'Cons spec tot e finalizzati'!U155</f>
        <v>8632</v>
      </c>
      <c r="M155" s="49">
        <f>+'Cons spec tot e finalizzati'!V155-'Cons spec tot e finalizzati'!W155</f>
        <v>9903</v>
      </c>
    </row>
    <row r="156" spans="1:13" s="2" customFormat="1" ht="12.75">
      <c r="A156" s="27"/>
      <c r="B156" s="21" t="s">
        <v>88</v>
      </c>
      <c r="D156" s="49">
        <f>+'Cons spec tot e finalizzati'!D156-'Cons spec tot e finalizzati'!E156</f>
        <v>0</v>
      </c>
      <c r="E156" s="49">
        <f>+'Cons spec tot e finalizzati'!F156-'Cons spec tot e finalizzati'!G156</f>
        <v>0</v>
      </c>
      <c r="F156" s="43">
        <f>+'Cons spec tot e finalizzati'!H156-'Cons spec tot e finalizzati'!I156</f>
        <v>0</v>
      </c>
      <c r="G156" s="52">
        <f>+'Cons spec tot e finalizzati'!J156-'Cons spec tot e finalizzati'!K156</f>
        <v>617</v>
      </c>
      <c r="H156" s="49">
        <f>+'Cons spec tot e finalizzati'!L156-'Cons spec tot e finalizzati'!M156</f>
        <v>1080</v>
      </c>
      <c r="I156" s="49">
        <f>+'Cons spec tot e finalizzati'!N156-'Cons spec tot e finalizzati'!O156</f>
        <v>964</v>
      </c>
      <c r="J156" s="49">
        <f>+'Cons spec tot e finalizzati'!P156-'Cons spec tot e finalizzati'!Q156</f>
        <v>88</v>
      </c>
      <c r="K156" s="49">
        <f>+'Cons spec tot e finalizzati'!R156-'Cons spec tot e finalizzati'!S156</f>
        <v>840</v>
      </c>
      <c r="L156" s="49">
        <f>+'Cons spec tot e finalizzati'!T156-'Cons spec tot e finalizzati'!U156</f>
        <v>979</v>
      </c>
      <c r="M156" s="49">
        <f>+'Cons spec tot e finalizzati'!V156-'Cons spec tot e finalizzati'!W156</f>
        <v>946</v>
      </c>
    </row>
    <row r="157" spans="1:13" s="30" customFormat="1" ht="12.75">
      <c r="A157" s="122"/>
      <c r="B157" s="21" t="s">
        <v>87</v>
      </c>
      <c r="D157" s="49">
        <f>+'Cons spec tot e finalizzati'!D157-'Cons spec tot e finalizzati'!E157</f>
        <v>0</v>
      </c>
      <c r="E157" s="49">
        <f>+'Cons spec tot e finalizzati'!F157-'Cons spec tot e finalizzati'!G157</f>
        <v>0</v>
      </c>
      <c r="F157" s="43">
        <f>+'Cons spec tot e finalizzati'!H157-'Cons spec tot e finalizzati'!I157</f>
        <v>0</v>
      </c>
      <c r="G157" s="52">
        <f>+'Cons spec tot e finalizzati'!J157-'Cons spec tot e finalizzati'!K157</f>
        <v>368</v>
      </c>
      <c r="H157" s="49">
        <f>+'Cons spec tot e finalizzati'!L157-'Cons spec tot e finalizzati'!M157</f>
        <v>832</v>
      </c>
      <c r="I157" s="49">
        <f>+'Cons spec tot e finalizzati'!N157-'Cons spec tot e finalizzati'!O157</f>
        <v>906</v>
      </c>
      <c r="J157" s="49">
        <f>+'Cons spec tot e finalizzati'!P157-'Cons spec tot e finalizzati'!Q157</f>
        <v>755</v>
      </c>
      <c r="K157" s="49">
        <f>+'Cons spec tot e finalizzati'!R157-'Cons spec tot e finalizzati'!S157</f>
        <v>626</v>
      </c>
      <c r="L157" s="49">
        <f>+'Cons spec tot e finalizzati'!T157-'Cons spec tot e finalizzati'!U157</f>
        <v>699</v>
      </c>
      <c r="M157" s="49">
        <f>+'Cons spec tot e finalizzati'!V157-'Cons spec tot e finalizzati'!W157</f>
        <v>326</v>
      </c>
    </row>
    <row r="158" spans="1:13" s="32" customFormat="1" ht="12.75">
      <c r="A158" s="112"/>
      <c r="B158" s="23" t="s">
        <v>83</v>
      </c>
      <c r="D158" s="63">
        <f>+'Cons spec tot e finalizzati'!D158-'Cons spec tot e finalizzati'!E158</f>
        <v>950</v>
      </c>
      <c r="E158" s="63">
        <f>+'Cons spec tot e finalizzati'!F158-'Cons spec tot e finalizzati'!G158</f>
        <v>1126</v>
      </c>
      <c r="F158" s="88">
        <f>+'Cons spec tot e finalizzati'!H158-'Cons spec tot e finalizzati'!I158</f>
        <v>1576</v>
      </c>
      <c r="G158" s="93">
        <f>+'Cons spec tot e finalizzati'!J158-'Cons spec tot e finalizzati'!K158</f>
        <v>0</v>
      </c>
      <c r="H158" s="63">
        <f>+'Cons spec tot e finalizzati'!L158-'Cons spec tot e finalizzati'!M158</f>
        <v>0</v>
      </c>
      <c r="I158" s="63">
        <f>+'Cons spec tot e finalizzati'!N158-'Cons spec tot e finalizzati'!O158</f>
        <v>0</v>
      </c>
      <c r="J158" s="63">
        <f>+'Cons spec tot e finalizzati'!P158-'Cons spec tot e finalizzati'!Q158</f>
        <v>0</v>
      </c>
      <c r="K158" s="63">
        <f>+'Cons spec tot e finalizzati'!R158-'Cons spec tot e finalizzati'!S158</f>
        <v>0</v>
      </c>
      <c r="L158" s="63">
        <f>+'Cons spec tot e finalizzati'!T158-'Cons spec tot e finalizzati'!U158</f>
        <v>0</v>
      </c>
      <c r="M158" s="63">
        <f>+'Cons spec tot e finalizzati'!V158-'Cons spec tot e finalizzati'!W158</f>
        <v>0</v>
      </c>
    </row>
    <row r="159" spans="1:13" s="2" customFormat="1" ht="12.75">
      <c r="A159" s="27"/>
      <c r="B159" s="21" t="s">
        <v>28</v>
      </c>
      <c r="D159" s="49">
        <f>+'Cons spec tot e finalizzati'!D159-'Cons spec tot e finalizzati'!E159</f>
        <v>2231</v>
      </c>
      <c r="E159" s="49">
        <f>+'Cons spec tot e finalizzati'!F159-'Cons spec tot e finalizzati'!G159</f>
        <v>2584</v>
      </c>
      <c r="F159" s="43">
        <f>+'Cons spec tot e finalizzati'!H159-'Cons spec tot e finalizzati'!I159</f>
        <v>2394</v>
      </c>
      <c r="G159" s="52">
        <f>+'Cons spec tot e finalizzati'!J159-'Cons spec tot e finalizzati'!K159</f>
        <v>2604</v>
      </c>
      <c r="H159" s="49">
        <f>+'Cons spec tot e finalizzati'!L159-'Cons spec tot e finalizzati'!M159</f>
        <v>2995</v>
      </c>
      <c r="I159" s="49">
        <f>+'Cons spec tot e finalizzati'!N159-'Cons spec tot e finalizzati'!O159</f>
        <v>3280</v>
      </c>
      <c r="J159" s="49">
        <f>+'Cons spec tot e finalizzati'!P159-'Cons spec tot e finalizzati'!Q159</f>
        <v>3614</v>
      </c>
      <c r="K159" s="49">
        <f>+'Cons spec tot e finalizzati'!R159-'Cons spec tot e finalizzati'!S159</f>
        <v>3561</v>
      </c>
      <c r="L159" s="49">
        <f>+'Cons spec tot e finalizzati'!T159-'Cons spec tot e finalizzati'!U159</f>
        <v>3285</v>
      </c>
      <c r="M159" s="49">
        <f>+'Cons spec tot e finalizzati'!V159-'Cons spec tot e finalizzati'!W159</f>
        <v>3528</v>
      </c>
    </row>
    <row r="160" spans="1:13" s="2" customFormat="1" ht="12.75">
      <c r="A160" s="27"/>
      <c r="B160" s="21" t="s">
        <v>72</v>
      </c>
      <c r="D160" s="49">
        <f>+'Cons spec tot e finalizzati'!D160-'Cons spec tot e finalizzati'!E160</f>
        <v>3495</v>
      </c>
      <c r="E160" s="49">
        <f>+'Cons spec tot e finalizzati'!F160-'Cons spec tot e finalizzati'!G160</f>
        <v>4036</v>
      </c>
      <c r="F160" s="43">
        <f>+'Cons spec tot e finalizzati'!H160-'Cons spec tot e finalizzati'!I160</f>
        <v>4063</v>
      </c>
      <c r="G160" s="52">
        <f>+'Cons spec tot e finalizzati'!J160-'Cons spec tot e finalizzati'!K160</f>
        <v>4413</v>
      </c>
      <c r="H160" s="49">
        <f>+'Cons spec tot e finalizzati'!L160-'Cons spec tot e finalizzati'!M160</f>
        <v>4585</v>
      </c>
      <c r="I160" s="49">
        <f>+'Cons spec tot e finalizzati'!N160-'Cons spec tot e finalizzati'!O160</f>
        <v>7468</v>
      </c>
      <c r="J160" s="49">
        <f>+'Cons spec tot e finalizzati'!P160-'Cons spec tot e finalizzati'!Q160</f>
        <v>5006</v>
      </c>
      <c r="K160" s="49">
        <f>+'Cons spec tot e finalizzati'!R160-'Cons spec tot e finalizzati'!S160</f>
        <v>7258</v>
      </c>
      <c r="L160" s="49">
        <f>+'Cons spec tot e finalizzati'!T160-'Cons spec tot e finalizzati'!U160</f>
        <v>6993</v>
      </c>
      <c r="M160" s="49">
        <f>+'Cons spec tot e finalizzati'!V160-'Cons spec tot e finalizzati'!W160</f>
        <v>7207</v>
      </c>
    </row>
    <row r="161" spans="1:13" s="30" customFormat="1" ht="12.75">
      <c r="A161" s="122"/>
      <c r="B161" s="21" t="s">
        <v>176</v>
      </c>
      <c r="D161" s="49">
        <f>+'Cons spec tot e finalizzati'!D161-'Cons spec tot e finalizzati'!E161</f>
        <v>0</v>
      </c>
      <c r="E161" s="49">
        <f>+'Cons spec tot e finalizzati'!F161-'Cons spec tot e finalizzati'!G161</f>
        <v>0</v>
      </c>
      <c r="F161" s="43">
        <f>+'Cons spec tot e finalizzati'!H161-'Cons spec tot e finalizzati'!I161</f>
        <v>0</v>
      </c>
      <c r="G161" s="52">
        <f>+'Cons spec tot e finalizzati'!J161-'Cons spec tot e finalizzati'!K161</f>
        <v>0</v>
      </c>
      <c r="H161" s="49">
        <f>+'Cons spec tot e finalizzati'!L161-'Cons spec tot e finalizzati'!M161</f>
        <v>13</v>
      </c>
      <c r="I161" s="49">
        <f>+'Cons spec tot e finalizzati'!N161-'Cons spec tot e finalizzati'!O161</f>
        <v>447</v>
      </c>
      <c r="J161" s="49">
        <f>+'Cons spec tot e finalizzati'!P161-'Cons spec tot e finalizzati'!Q161</f>
        <v>990</v>
      </c>
      <c r="K161" s="49">
        <f>+'Cons spec tot e finalizzati'!R161-'Cons spec tot e finalizzati'!S161</f>
        <v>1239</v>
      </c>
      <c r="L161" s="49">
        <f>+'Cons spec tot e finalizzati'!T161-'Cons spec tot e finalizzati'!U161</f>
        <v>166</v>
      </c>
      <c r="M161" s="49">
        <f>+'Cons spec tot e finalizzati'!V161-'Cons spec tot e finalizzati'!W161</f>
        <v>183</v>
      </c>
    </row>
    <row r="162" spans="1:13" s="30" customFormat="1" ht="12.75">
      <c r="A162" s="122"/>
      <c r="B162" s="21" t="s">
        <v>175</v>
      </c>
      <c r="D162" s="49">
        <f>+'Cons spec tot e finalizzati'!D162-'Cons spec tot e finalizzati'!E162</f>
        <v>0</v>
      </c>
      <c r="E162" s="49">
        <f>+'Cons spec tot e finalizzati'!F162-'Cons spec tot e finalizzati'!G162</f>
        <v>0</v>
      </c>
      <c r="F162" s="43">
        <f>+'Cons spec tot e finalizzati'!H162-'Cons spec tot e finalizzati'!I162</f>
        <v>0</v>
      </c>
      <c r="G162" s="52">
        <f>+'Cons spec tot e finalizzati'!J162-'Cons spec tot e finalizzati'!K162</f>
        <v>0</v>
      </c>
      <c r="H162" s="49">
        <f>+'Cons spec tot e finalizzati'!L162-'Cons spec tot e finalizzati'!M162</f>
        <v>0</v>
      </c>
      <c r="I162" s="49">
        <f>+'Cons spec tot e finalizzati'!N162-'Cons spec tot e finalizzati'!O162</f>
        <v>0</v>
      </c>
      <c r="J162" s="49">
        <f>+'Cons spec tot e finalizzati'!P162-'Cons spec tot e finalizzati'!Q162</f>
        <v>0</v>
      </c>
      <c r="K162" s="49">
        <f>+'Cons spec tot e finalizzati'!R162-'Cons spec tot e finalizzati'!S162</f>
        <v>0</v>
      </c>
      <c r="L162" s="49">
        <f>+'Cons spec tot e finalizzati'!T162-'Cons spec tot e finalizzati'!U162</f>
        <v>0</v>
      </c>
      <c r="M162" s="49">
        <f>+'Cons spec tot e finalizzati'!V162-'Cons spec tot e finalizzati'!W162</f>
        <v>100</v>
      </c>
    </row>
    <row r="163" spans="1:13" s="30" customFormat="1" ht="12.75">
      <c r="A163" s="122"/>
      <c r="B163" s="21" t="s">
        <v>122</v>
      </c>
      <c r="D163" s="49">
        <f>+'Cons spec tot e finalizzati'!D163-'Cons spec tot e finalizzati'!E163</f>
        <v>0</v>
      </c>
      <c r="E163" s="49">
        <f>+'Cons spec tot e finalizzati'!F163-'Cons spec tot e finalizzati'!G163</f>
        <v>0</v>
      </c>
      <c r="F163" s="43">
        <f>+'Cons spec tot e finalizzati'!H163-'Cons spec tot e finalizzati'!I163</f>
        <v>0</v>
      </c>
      <c r="G163" s="52">
        <f>+'Cons spec tot e finalizzati'!J163-'Cons spec tot e finalizzati'!K163</f>
        <v>0</v>
      </c>
      <c r="H163" s="49">
        <f>+'Cons spec tot e finalizzati'!L163-'Cons spec tot e finalizzati'!M163</f>
        <v>761</v>
      </c>
      <c r="I163" s="49">
        <f>+'Cons spec tot e finalizzati'!N163-'Cons spec tot e finalizzati'!O163</f>
        <v>790</v>
      </c>
      <c r="J163" s="49">
        <f>+'Cons spec tot e finalizzati'!P163-'Cons spec tot e finalizzati'!Q163</f>
        <v>449</v>
      </c>
      <c r="K163" s="49">
        <f>+'Cons spec tot e finalizzati'!R163-'Cons spec tot e finalizzati'!S163</f>
        <v>601</v>
      </c>
      <c r="L163" s="49">
        <f>+'Cons spec tot e finalizzati'!T163-'Cons spec tot e finalizzati'!U163</f>
        <v>427</v>
      </c>
      <c r="M163" s="49">
        <f>+'Cons spec tot e finalizzati'!V163-'Cons spec tot e finalizzati'!W163</f>
        <v>442</v>
      </c>
    </row>
    <row r="164" spans="1:13" s="30" customFormat="1" ht="12.75">
      <c r="A164" s="57"/>
      <c r="B164" s="155" t="s">
        <v>89</v>
      </c>
      <c r="C164" s="158"/>
      <c r="D164" s="69">
        <f>+'Cons spec tot e finalizzati'!D164-'Cons spec tot e finalizzati'!E164</f>
        <v>1162</v>
      </c>
      <c r="E164" s="69">
        <f>+'Cons spec tot e finalizzati'!F164-'Cons spec tot e finalizzati'!G164</f>
        <v>915</v>
      </c>
      <c r="F164" s="69">
        <f>+'Cons spec tot e finalizzati'!H164-'Cons spec tot e finalizzati'!I164</f>
        <v>1697</v>
      </c>
      <c r="G164" s="64">
        <f>+'Cons spec tot e finalizzati'!J164-'Cons spec tot e finalizzati'!K164</f>
        <v>1978</v>
      </c>
      <c r="H164" s="69">
        <f>+'Cons spec tot e finalizzati'!L164-'Cons spec tot e finalizzati'!M164</f>
        <v>1924</v>
      </c>
      <c r="I164" s="69">
        <f>+'Cons spec tot e finalizzati'!N164-'Cons spec tot e finalizzati'!O164</f>
        <v>2095</v>
      </c>
      <c r="J164" s="69">
        <f>+'Cons spec tot e finalizzati'!P164-'Cons spec tot e finalizzati'!Q164</f>
        <v>2520</v>
      </c>
      <c r="K164" s="69">
        <f>+'Cons spec tot e finalizzati'!R164-'Cons spec tot e finalizzati'!S164</f>
        <v>2444</v>
      </c>
      <c r="L164" s="69">
        <f>+'Cons spec tot e finalizzati'!T164-'Cons spec tot e finalizzati'!U164</f>
        <v>1928</v>
      </c>
      <c r="M164" s="69">
        <f>+'Cons spec tot e finalizzati'!V164-'Cons spec tot e finalizzati'!W164</f>
        <v>1501</v>
      </c>
    </row>
    <row r="165" spans="1:13" s="2" customFormat="1" ht="12.75">
      <c r="A165" s="114" t="s">
        <v>32</v>
      </c>
      <c r="B165" s="115"/>
      <c r="C165" s="117"/>
      <c r="D165" s="66">
        <f>+'Cons spec tot e finalizzati'!D165-'Cons spec tot e finalizzati'!E165</f>
        <v>1496</v>
      </c>
      <c r="E165" s="66">
        <f>+'Cons spec tot e finalizzati'!F165-'Cons spec tot e finalizzati'!G165</f>
        <v>1577</v>
      </c>
      <c r="F165" s="66">
        <f>+'Cons spec tot e finalizzati'!H165-'Cons spec tot e finalizzati'!I165</f>
        <v>1657</v>
      </c>
      <c r="G165" s="66">
        <f>+'Cons spec tot e finalizzati'!J165-'Cons spec tot e finalizzati'!K165</f>
        <v>1762</v>
      </c>
      <c r="H165" s="66">
        <f>+'Cons spec tot e finalizzati'!L165-'Cons spec tot e finalizzati'!M165</f>
        <v>1864</v>
      </c>
      <c r="I165" s="66">
        <f>+'Cons spec tot e finalizzati'!N165-'Cons spec tot e finalizzati'!O165</f>
        <v>1893</v>
      </c>
      <c r="J165" s="66">
        <f>+'Cons spec tot e finalizzati'!P165-'Cons spec tot e finalizzati'!Q165</f>
        <v>2163</v>
      </c>
      <c r="K165" s="66">
        <f>+'Cons spec tot e finalizzati'!R165-'Cons spec tot e finalizzati'!S165</f>
        <v>2154</v>
      </c>
      <c r="L165" s="66">
        <f>+'Cons spec tot e finalizzati'!T165-'Cons spec tot e finalizzati'!U165</f>
        <v>2183</v>
      </c>
      <c r="M165" s="66">
        <f>+'Cons spec tot e finalizzati'!V165-'Cons spec tot e finalizzati'!W165</f>
        <v>2217</v>
      </c>
    </row>
    <row r="166" spans="1:13" s="2" customFormat="1" ht="12.75">
      <c r="A166" s="27"/>
      <c r="B166" s="21" t="s">
        <v>33</v>
      </c>
      <c r="D166" s="49">
        <f>+'Cons spec tot e finalizzati'!D166-'Cons spec tot e finalizzati'!E166</f>
        <v>156</v>
      </c>
      <c r="E166" s="49">
        <f>+'Cons spec tot e finalizzati'!F166-'Cons spec tot e finalizzati'!G166</f>
        <v>245</v>
      </c>
      <c r="F166" s="43">
        <f>+'Cons spec tot e finalizzati'!H166-'Cons spec tot e finalizzati'!I166</f>
        <v>262</v>
      </c>
      <c r="G166" s="52">
        <f>+'Cons spec tot e finalizzati'!J166-'Cons spec tot e finalizzati'!K166</f>
        <v>281</v>
      </c>
      <c r="H166" s="49">
        <f>+'Cons spec tot e finalizzati'!L166-'Cons spec tot e finalizzati'!M166</f>
        <v>229</v>
      </c>
      <c r="I166" s="49">
        <f>+'Cons spec tot e finalizzati'!N166-'Cons spec tot e finalizzati'!O166</f>
        <v>259</v>
      </c>
      <c r="J166" s="49">
        <f>+'Cons spec tot e finalizzati'!P166-'Cons spec tot e finalizzati'!Q166</f>
        <v>306</v>
      </c>
      <c r="K166" s="49">
        <f>+'Cons spec tot e finalizzati'!R166-'Cons spec tot e finalizzati'!S166</f>
        <v>225</v>
      </c>
      <c r="L166" s="49">
        <f>+'Cons spec tot e finalizzati'!T166-'Cons spec tot e finalizzati'!U166</f>
        <v>225</v>
      </c>
      <c r="M166" s="49">
        <f>+'Cons spec tot e finalizzati'!V166-'Cons spec tot e finalizzati'!W166</f>
        <v>255</v>
      </c>
    </row>
    <row r="167" spans="1:13" s="2" customFormat="1" ht="12.75">
      <c r="A167" s="27"/>
      <c r="B167" s="21" t="s">
        <v>34</v>
      </c>
      <c r="D167" s="49">
        <f>+'Cons spec tot e finalizzati'!D167-'Cons spec tot e finalizzati'!E167</f>
        <v>965</v>
      </c>
      <c r="E167" s="49">
        <f>+'Cons spec tot e finalizzati'!F167-'Cons spec tot e finalizzati'!G167</f>
        <v>943</v>
      </c>
      <c r="F167" s="43">
        <f>+'Cons spec tot e finalizzati'!H167-'Cons spec tot e finalizzati'!I167</f>
        <v>947</v>
      </c>
      <c r="G167" s="52">
        <f>+'Cons spec tot e finalizzati'!J167-'Cons spec tot e finalizzati'!K167</f>
        <v>959</v>
      </c>
      <c r="H167" s="49">
        <f>+'Cons spec tot e finalizzati'!L167-'Cons spec tot e finalizzati'!M167</f>
        <v>1093</v>
      </c>
      <c r="I167" s="49">
        <f>+'Cons spec tot e finalizzati'!N167-'Cons spec tot e finalizzati'!O167</f>
        <v>1088</v>
      </c>
      <c r="J167" s="49">
        <f>+'Cons spec tot e finalizzati'!P167-'Cons spec tot e finalizzati'!Q167</f>
        <v>1286</v>
      </c>
      <c r="K167" s="49">
        <f>+'Cons spec tot e finalizzati'!R167-'Cons spec tot e finalizzati'!S167</f>
        <v>1230</v>
      </c>
      <c r="L167" s="49">
        <f>+'Cons spec tot e finalizzati'!T167-'Cons spec tot e finalizzati'!U167</f>
        <v>1210</v>
      </c>
      <c r="M167" s="49">
        <f>+'Cons spec tot e finalizzati'!V167-'Cons spec tot e finalizzati'!W167</f>
        <v>1090</v>
      </c>
    </row>
    <row r="168" spans="1:13" s="2" customFormat="1" ht="12.75">
      <c r="A168" s="27"/>
      <c r="B168" s="21" t="s">
        <v>35</v>
      </c>
      <c r="D168" s="49">
        <f>+'Cons spec tot e finalizzati'!D168-'Cons spec tot e finalizzati'!E168</f>
        <v>0</v>
      </c>
      <c r="E168" s="49">
        <f>+'Cons spec tot e finalizzati'!F168-'Cons spec tot e finalizzati'!G168</f>
        <v>0</v>
      </c>
      <c r="F168" s="43">
        <f>+'Cons spec tot e finalizzati'!H168-'Cons spec tot e finalizzati'!I168</f>
        <v>0</v>
      </c>
      <c r="G168" s="52">
        <f>+'Cons spec tot e finalizzati'!J168-'Cons spec tot e finalizzati'!K168</f>
        <v>7</v>
      </c>
      <c r="H168" s="49">
        <f>+'Cons spec tot e finalizzati'!L168-'Cons spec tot e finalizzati'!M168</f>
        <v>7</v>
      </c>
      <c r="I168" s="49">
        <f>+'Cons spec tot e finalizzati'!N168-'Cons spec tot e finalizzati'!O168</f>
        <v>1</v>
      </c>
      <c r="J168" s="49">
        <f>+'Cons spec tot e finalizzati'!P168-'Cons spec tot e finalizzati'!Q168</f>
        <v>7</v>
      </c>
      <c r="K168" s="49">
        <f>+'Cons spec tot e finalizzati'!R168-'Cons spec tot e finalizzati'!S168</f>
        <v>0</v>
      </c>
      <c r="L168" s="49">
        <f>+'Cons spec tot e finalizzati'!T168-'Cons spec tot e finalizzati'!U168</f>
        <v>0</v>
      </c>
      <c r="M168" s="49">
        <f>+'Cons spec tot e finalizzati'!V168-'Cons spec tot e finalizzati'!W168</f>
        <v>0</v>
      </c>
    </row>
    <row r="169" spans="1:13" s="2" customFormat="1" ht="12.75">
      <c r="A169" s="27"/>
      <c r="B169" s="21" t="s">
        <v>177</v>
      </c>
      <c r="D169" s="49">
        <f>+'Cons spec tot e finalizzati'!D169-'Cons spec tot e finalizzati'!E169</f>
        <v>0</v>
      </c>
      <c r="E169" s="49">
        <f>+'Cons spec tot e finalizzati'!F169-'Cons spec tot e finalizzati'!G169</f>
        <v>0</v>
      </c>
      <c r="F169" s="43">
        <f>+'Cons spec tot e finalizzati'!H169-'Cons spec tot e finalizzati'!I169</f>
        <v>0</v>
      </c>
      <c r="G169" s="52">
        <f>+'Cons spec tot e finalizzati'!J169-'Cons spec tot e finalizzati'!K169</f>
        <v>0</v>
      </c>
      <c r="H169" s="49">
        <f>+'Cons spec tot e finalizzati'!L169-'Cons spec tot e finalizzati'!M169</f>
        <v>0</v>
      </c>
      <c r="I169" s="49">
        <f>+'Cons spec tot e finalizzati'!N169-'Cons spec tot e finalizzati'!O169</f>
        <v>0</v>
      </c>
      <c r="J169" s="49">
        <f>+'Cons spec tot e finalizzati'!P169-'Cons spec tot e finalizzati'!Q169</f>
        <v>0</v>
      </c>
      <c r="K169" s="49">
        <f>+'Cons spec tot e finalizzati'!R169-'Cons spec tot e finalizzati'!S169</f>
        <v>0</v>
      </c>
      <c r="L169" s="49">
        <f>+'Cons spec tot e finalizzati'!T169-'Cons spec tot e finalizzati'!U169</f>
        <v>0</v>
      </c>
      <c r="M169" s="49">
        <f>+'Cons spec tot e finalizzati'!V169-'Cons spec tot e finalizzati'!W169</f>
        <v>5</v>
      </c>
    </row>
    <row r="170" spans="1:13" s="2" customFormat="1" ht="12.75">
      <c r="A170" s="27"/>
      <c r="B170" s="21" t="s">
        <v>36</v>
      </c>
      <c r="D170" s="49">
        <f>+'Cons spec tot e finalizzati'!D170-'Cons spec tot e finalizzati'!E170</f>
        <v>18</v>
      </c>
      <c r="E170" s="49">
        <f>+'Cons spec tot e finalizzati'!F170-'Cons spec tot e finalizzati'!G170</f>
        <v>14</v>
      </c>
      <c r="F170" s="43">
        <f>+'Cons spec tot e finalizzati'!H170-'Cons spec tot e finalizzati'!I170</f>
        <v>15</v>
      </c>
      <c r="G170" s="52">
        <f>+'Cons spec tot e finalizzati'!J170-'Cons spec tot e finalizzati'!K170</f>
        <v>15</v>
      </c>
      <c r="H170" s="49">
        <f>+'Cons spec tot e finalizzati'!L170-'Cons spec tot e finalizzati'!M170</f>
        <v>63</v>
      </c>
      <c r="I170" s="49">
        <f>+'Cons spec tot e finalizzati'!N170-'Cons spec tot e finalizzati'!O170</f>
        <v>66</v>
      </c>
      <c r="J170" s="49">
        <f>+'Cons spec tot e finalizzati'!P170-'Cons spec tot e finalizzati'!Q170</f>
        <v>63</v>
      </c>
      <c r="K170" s="49">
        <f>+'Cons spec tot e finalizzati'!R170-'Cons spec tot e finalizzati'!S170</f>
        <v>67</v>
      </c>
      <c r="L170" s="49">
        <f>+'Cons spec tot e finalizzati'!T170-'Cons spec tot e finalizzati'!U170</f>
        <v>68</v>
      </c>
      <c r="M170" s="49">
        <f>+'Cons spec tot e finalizzati'!V170-'Cons spec tot e finalizzati'!W170</f>
        <v>92</v>
      </c>
    </row>
    <row r="171" spans="1:13" s="2" customFormat="1" ht="12.75">
      <c r="A171" s="27"/>
      <c r="B171" s="21" t="s">
        <v>122</v>
      </c>
      <c r="D171" s="49">
        <f>+'Cons spec tot e finalizzati'!D171-'Cons spec tot e finalizzati'!E171</f>
        <v>290</v>
      </c>
      <c r="E171" s="49">
        <f>+'Cons spec tot e finalizzati'!F171-'Cons spec tot e finalizzati'!G171</f>
        <v>297</v>
      </c>
      <c r="F171" s="43">
        <f>+'Cons spec tot e finalizzati'!H171-'Cons spec tot e finalizzati'!I171</f>
        <v>343</v>
      </c>
      <c r="G171" s="52">
        <f>+'Cons spec tot e finalizzati'!J171-'Cons spec tot e finalizzati'!K171</f>
        <v>262</v>
      </c>
      <c r="H171" s="49">
        <f>+'Cons spec tot e finalizzati'!L171-'Cons spec tot e finalizzati'!M171</f>
        <v>256</v>
      </c>
      <c r="I171" s="49">
        <f>+'Cons spec tot e finalizzati'!N171-'Cons spec tot e finalizzati'!O171</f>
        <v>311</v>
      </c>
      <c r="J171" s="49">
        <f>+'Cons spec tot e finalizzati'!P171-'Cons spec tot e finalizzati'!Q171</f>
        <v>330</v>
      </c>
      <c r="K171" s="49">
        <f>+'Cons spec tot e finalizzati'!R171-'Cons spec tot e finalizzati'!S171</f>
        <v>461</v>
      </c>
      <c r="L171" s="49">
        <f>+'Cons spec tot e finalizzati'!T171-'Cons spec tot e finalizzati'!U171</f>
        <v>508</v>
      </c>
      <c r="M171" s="49">
        <f>+'Cons spec tot e finalizzati'!V171-'Cons spec tot e finalizzati'!W171</f>
        <v>610</v>
      </c>
    </row>
    <row r="172" spans="1:13" s="30" customFormat="1" ht="12.75">
      <c r="A172" s="57"/>
      <c r="B172" s="155" t="s">
        <v>123</v>
      </c>
      <c r="C172" s="158"/>
      <c r="D172" s="69">
        <f>+'Cons spec tot e finalizzati'!D172-'Cons spec tot e finalizzati'!E172</f>
        <v>67</v>
      </c>
      <c r="E172" s="69">
        <f>+'Cons spec tot e finalizzati'!F172-'Cons spec tot e finalizzati'!G172</f>
        <v>78</v>
      </c>
      <c r="F172" s="69">
        <f>+'Cons spec tot e finalizzati'!H172-'Cons spec tot e finalizzati'!I172</f>
        <v>89</v>
      </c>
      <c r="G172" s="64">
        <f>+'Cons spec tot e finalizzati'!J172-'Cons spec tot e finalizzati'!K172</f>
        <v>238</v>
      </c>
      <c r="H172" s="69">
        <f>+'Cons spec tot e finalizzati'!L172-'Cons spec tot e finalizzati'!M172</f>
        <v>216</v>
      </c>
      <c r="I172" s="69">
        <f>+'Cons spec tot e finalizzati'!N172-'Cons spec tot e finalizzati'!O172</f>
        <v>168</v>
      </c>
      <c r="J172" s="69">
        <f>+'Cons spec tot e finalizzati'!P172-'Cons spec tot e finalizzati'!Q172</f>
        <v>171</v>
      </c>
      <c r="K172" s="69">
        <f>+'Cons spec tot e finalizzati'!R172-'Cons spec tot e finalizzati'!S172</f>
        <v>171</v>
      </c>
      <c r="L172" s="69">
        <f>+'Cons spec tot e finalizzati'!T172-'Cons spec tot e finalizzati'!U172</f>
        <v>172</v>
      </c>
      <c r="M172" s="69">
        <f>+'Cons spec tot e finalizzati'!V172-'Cons spec tot e finalizzati'!W172</f>
        <v>165</v>
      </c>
    </row>
    <row r="173" spans="1:13" s="2" customFormat="1" ht="12.75">
      <c r="A173" s="114" t="s">
        <v>37</v>
      </c>
      <c r="B173" s="115"/>
      <c r="C173" s="117"/>
      <c r="D173" s="66">
        <f>+'Cons spec tot e finalizzati'!D173-'Cons spec tot e finalizzati'!E173</f>
        <v>4133</v>
      </c>
      <c r="E173" s="66">
        <f>+'Cons spec tot e finalizzati'!F173-'Cons spec tot e finalizzati'!G173</f>
        <v>4395</v>
      </c>
      <c r="F173" s="66">
        <f>+'Cons spec tot e finalizzati'!H173-'Cons spec tot e finalizzati'!I173</f>
        <v>4774.384801706374</v>
      </c>
      <c r="G173" s="66">
        <f>+'Cons spec tot e finalizzati'!J173-'Cons spec tot e finalizzati'!K173</f>
        <v>5164</v>
      </c>
      <c r="H173" s="66">
        <f>+'Cons spec tot e finalizzati'!L173-'Cons spec tot e finalizzati'!M173</f>
        <v>5396</v>
      </c>
      <c r="I173" s="66">
        <f>+'Cons spec tot e finalizzati'!N173-'Cons spec tot e finalizzati'!O173</f>
        <v>5352</v>
      </c>
      <c r="J173" s="66">
        <f>+'Cons spec tot e finalizzati'!P173-'Cons spec tot e finalizzati'!Q173</f>
        <v>5796</v>
      </c>
      <c r="K173" s="66">
        <f>+'Cons spec tot e finalizzati'!R173-'Cons spec tot e finalizzati'!S173</f>
        <v>6179</v>
      </c>
      <c r="L173" s="66">
        <f>+'Cons spec tot e finalizzati'!T173-'Cons spec tot e finalizzati'!U173</f>
        <v>6288</v>
      </c>
      <c r="M173" s="66">
        <f>+'Cons spec tot e finalizzati'!V173-'Cons spec tot e finalizzati'!W173</f>
        <v>6581</v>
      </c>
    </row>
    <row r="174" spans="1:13" s="2" customFormat="1" ht="12.75">
      <c r="A174" s="27"/>
      <c r="B174" s="21" t="s">
        <v>33</v>
      </c>
      <c r="D174" s="49">
        <f>+'Cons spec tot e finalizzati'!D174-'Cons spec tot e finalizzati'!E174</f>
        <v>233</v>
      </c>
      <c r="E174" s="49">
        <f>+'Cons spec tot e finalizzati'!F174-'Cons spec tot e finalizzati'!G174</f>
        <v>194</v>
      </c>
      <c r="F174" s="43">
        <f>+'Cons spec tot e finalizzati'!H174-'Cons spec tot e finalizzati'!I174</f>
        <v>264.3848017063736</v>
      </c>
      <c r="G174" s="52">
        <f>+'Cons spec tot e finalizzati'!J174-'Cons spec tot e finalizzati'!K174</f>
        <v>205</v>
      </c>
      <c r="H174" s="49">
        <f>+'Cons spec tot e finalizzati'!L174-'Cons spec tot e finalizzati'!M174</f>
        <v>155</v>
      </c>
      <c r="I174" s="49">
        <f>+'Cons spec tot e finalizzati'!N174-'Cons spec tot e finalizzati'!O174</f>
        <v>165</v>
      </c>
      <c r="J174" s="49">
        <f>+'Cons spec tot e finalizzati'!P174-'Cons spec tot e finalizzati'!Q174</f>
        <v>163</v>
      </c>
      <c r="K174" s="49">
        <f>+'Cons spec tot e finalizzati'!R174-'Cons spec tot e finalizzati'!S174</f>
        <v>202</v>
      </c>
      <c r="L174" s="49">
        <f>+'Cons spec tot e finalizzati'!T174-'Cons spec tot e finalizzati'!U174</f>
        <v>181</v>
      </c>
      <c r="M174" s="49">
        <f>+'Cons spec tot e finalizzati'!V174-'Cons spec tot e finalizzati'!W174</f>
        <v>152</v>
      </c>
    </row>
    <row r="175" spans="1:13" s="2" customFormat="1" ht="12.75">
      <c r="A175" s="27"/>
      <c r="B175" s="21" t="s">
        <v>34</v>
      </c>
      <c r="D175" s="49">
        <f>+'Cons spec tot e finalizzati'!D175-'Cons spec tot e finalizzati'!E175</f>
        <v>2837</v>
      </c>
      <c r="E175" s="49">
        <f>+'Cons spec tot e finalizzati'!F175-'Cons spec tot e finalizzati'!G175</f>
        <v>3173</v>
      </c>
      <c r="F175" s="43">
        <f>+'Cons spec tot e finalizzati'!H175-'Cons spec tot e finalizzati'!I175</f>
        <v>3300</v>
      </c>
      <c r="G175" s="52">
        <f>+'Cons spec tot e finalizzati'!J175-'Cons spec tot e finalizzati'!K175</f>
        <v>3244</v>
      </c>
      <c r="H175" s="49">
        <f>+'Cons spec tot e finalizzati'!L175-'Cons spec tot e finalizzati'!M175</f>
        <v>3393</v>
      </c>
      <c r="I175" s="49">
        <f>+'Cons spec tot e finalizzati'!N175-'Cons spec tot e finalizzati'!O175</f>
        <v>3171</v>
      </c>
      <c r="J175" s="49">
        <f>+'Cons spec tot e finalizzati'!P175-'Cons spec tot e finalizzati'!Q175</f>
        <v>3290</v>
      </c>
      <c r="K175" s="49">
        <f>+'Cons spec tot e finalizzati'!R175-'Cons spec tot e finalizzati'!S175</f>
        <v>3320</v>
      </c>
      <c r="L175" s="49">
        <f>+'Cons spec tot e finalizzati'!T175-'Cons spec tot e finalizzati'!U175</f>
        <v>3303</v>
      </c>
      <c r="M175" s="49">
        <f>+'Cons spec tot e finalizzati'!V175-'Cons spec tot e finalizzati'!W175</f>
        <v>3286</v>
      </c>
    </row>
    <row r="176" spans="1:13" s="2" customFormat="1" ht="12.75">
      <c r="A176" s="27"/>
      <c r="B176" s="21" t="s">
        <v>35</v>
      </c>
      <c r="D176" s="49">
        <f>+'Cons spec tot e finalizzati'!D176-'Cons spec tot e finalizzati'!E176</f>
        <v>0</v>
      </c>
      <c r="E176" s="49">
        <f>+'Cons spec tot e finalizzati'!F176-'Cons spec tot e finalizzati'!G176</f>
        <v>0</v>
      </c>
      <c r="F176" s="43">
        <f>+'Cons spec tot e finalizzati'!H176-'Cons spec tot e finalizzati'!I176</f>
        <v>0</v>
      </c>
      <c r="G176" s="52">
        <f>+'Cons spec tot e finalizzati'!J176-'Cons spec tot e finalizzati'!K176</f>
        <v>22</v>
      </c>
      <c r="H176" s="49">
        <f>+'Cons spec tot e finalizzati'!L176-'Cons spec tot e finalizzati'!M176</f>
        <v>26</v>
      </c>
      <c r="I176" s="49">
        <f>+'Cons spec tot e finalizzati'!N176-'Cons spec tot e finalizzati'!O176</f>
        <v>36</v>
      </c>
      <c r="J176" s="49">
        <f>+'Cons spec tot e finalizzati'!P176-'Cons spec tot e finalizzati'!Q176</f>
        <v>43</v>
      </c>
      <c r="K176" s="49">
        <f>+'Cons spec tot e finalizzati'!R176-'Cons spec tot e finalizzati'!S176</f>
        <v>0</v>
      </c>
      <c r="L176" s="49">
        <f>+'Cons spec tot e finalizzati'!T176-'Cons spec tot e finalizzati'!U176</f>
        <v>0</v>
      </c>
      <c r="M176" s="49">
        <f>+'Cons spec tot e finalizzati'!V176-'Cons spec tot e finalizzati'!W176</f>
        <v>0</v>
      </c>
    </row>
    <row r="177" spans="1:13" s="2" customFormat="1" ht="12.75">
      <c r="A177" s="27"/>
      <c r="B177" s="21" t="s">
        <v>178</v>
      </c>
      <c r="D177" s="49">
        <f>+'Cons spec tot e finalizzati'!D177-'Cons spec tot e finalizzati'!E177</f>
        <v>0</v>
      </c>
      <c r="E177" s="49">
        <f>+'Cons spec tot e finalizzati'!F177-'Cons spec tot e finalizzati'!G177</f>
        <v>0</v>
      </c>
      <c r="F177" s="43">
        <f>+'Cons spec tot e finalizzati'!H177-'Cons spec tot e finalizzati'!I177</f>
        <v>0</v>
      </c>
      <c r="G177" s="52">
        <f>+'Cons spec tot e finalizzati'!J177-'Cons spec tot e finalizzati'!K177</f>
        <v>0</v>
      </c>
      <c r="H177" s="49">
        <f>+'Cons spec tot e finalizzati'!L177-'Cons spec tot e finalizzati'!M177</f>
        <v>0</v>
      </c>
      <c r="I177" s="49">
        <f>+'Cons spec tot e finalizzati'!N177-'Cons spec tot e finalizzati'!O177</f>
        <v>0</v>
      </c>
      <c r="J177" s="49">
        <f>+'Cons spec tot e finalizzati'!P177-'Cons spec tot e finalizzati'!Q177</f>
        <v>236</v>
      </c>
      <c r="K177" s="49">
        <f>+'Cons spec tot e finalizzati'!R177-'Cons spec tot e finalizzati'!S177</f>
        <v>665</v>
      </c>
      <c r="L177" s="49">
        <f>+'Cons spec tot e finalizzati'!T177-'Cons spec tot e finalizzati'!U177</f>
        <v>780</v>
      </c>
      <c r="M177" s="49">
        <f>+'Cons spec tot e finalizzati'!V177-'Cons spec tot e finalizzati'!W177</f>
        <v>1009</v>
      </c>
    </row>
    <row r="178" spans="1:13" s="2" customFormat="1" ht="12.75">
      <c r="A178" s="27"/>
      <c r="B178" s="21" t="s">
        <v>36</v>
      </c>
      <c r="D178" s="49">
        <f>+'Cons spec tot e finalizzati'!D178-'Cons spec tot e finalizzati'!E178</f>
        <v>61</v>
      </c>
      <c r="E178" s="49">
        <f>+'Cons spec tot e finalizzati'!F178-'Cons spec tot e finalizzati'!G178</f>
        <v>51</v>
      </c>
      <c r="F178" s="43">
        <f>+'Cons spec tot e finalizzati'!H178-'Cons spec tot e finalizzati'!I178</f>
        <v>51</v>
      </c>
      <c r="G178" s="52">
        <f>+'Cons spec tot e finalizzati'!J178-'Cons spec tot e finalizzati'!K178</f>
        <v>97</v>
      </c>
      <c r="H178" s="49">
        <f>+'Cons spec tot e finalizzati'!L178-'Cons spec tot e finalizzati'!M178</f>
        <v>66</v>
      </c>
      <c r="I178" s="49">
        <f>+'Cons spec tot e finalizzati'!N178-'Cons spec tot e finalizzati'!O178</f>
        <v>76</v>
      </c>
      <c r="J178" s="49">
        <f>+'Cons spec tot e finalizzati'!P178-'Cons spec tot e finalizzati'!Q178</f>
        <v>85</v>
      </c>
      <c r="K178" s="49">
        <f>+'Cons spec tot e finalizzati'!R178-'Cons spec tot e finalizzati'!S178</f>
        <v>92</v>
      </c>
      <c r="L178" s="49">
        <f>+'Cons spec tot e finalizzati'!T178-'Cons spec tot e finalizzati'!U178</f>
        <v>92</v>
      </c>
      <c r="M178" s="49">
        <f>+'Cons spec tot e finalizzati'!V178-'Cons spec tot e finalizzati'!W178</f>
        <v>92</v>
      </c>
    </row>
    <row r="179" spans="1:13" s="2" customFormat="1" ht="12.75">
      <c r="A179" s="27"/>
      <c r="B179" s="21" t="s">
        <v>122</v>
      </c>
      <c r="D179" s="49">
        <f>+'Cons spec tot e finalizzati'!D179-'Cons spec tot e finalizzati'!E179</f>
        <v>855</v>
      </c>
      <c r="E179" s="49">
        <f>+'Cons spec tot e finalizzati'!F179-'Cons spec tot e finalizzati'!G179</f>
        <v>798</v>
      </c>
      <c r="F179" s="43">
        <f>+'Cons spec tot e finalizzati'!H179-'Cons spec tot e finalizzati'!I179</f>
        <v>948</v>
      </c>
      <c r="G179" s="52">
        <f>+'Cons spec tot e finalizzati'!J179-'Cons spec tot e finalizzati'!K179</f>
        <v>1085</v>
      </c>
      <c r="H179" s="49">
        <f>+'Cons spec tot e finalizzati'!L179-'Cons spec tot e finalizzati'!M179</f>
        <v>1128</v>
      </c>
      <c r="I179" s="49">
        <f>+'Cons spec tot e finalizzati'!N179-'Cons spec tot e finalizzati'!O179</f>
        <v>1324</v>
      </c>
      <c r="J179" s="49">
        <f>+'Cons spec tot e finalizzati'!P179-'Cons spec tot e finalizzati'!Q179</f>
        <v>1397</v>
      </c>
      <c r="K179" s="49">
        <f>+'Cons spec tot e finalizzati'!R179-'Cons spec tot e finalizzati'!S179</f>
        <v>1334</v>
      </c>
      <c r="L179" s="49">
        <f>+'Cons spec tot e finalizzati'!T179-'Cons spec tot e finalizzati'!U179</f>
        <v>1375</v>
      </c>
      <c r="M179" s="49">
        <f>+'Cons spec tot e finalizzati'!V179-'Cons spec tot e finalizzati'!W179</f>
        <v>1456</v>
      </c>
    </row>
    <row r="180" spans="1:13" s="30" customFormat="1" ht="12.75">
      <c r="A180" s="57"/>
      <c r="B180" s="155" t="s">
        <v>123</v>
      </c>
      <c r="C180" s="158"/>
      <c r="D180" s="69">
        <f>+'Cons spec tot e finalizzati'!D180-'Cons spec tot e finalizzati'!E180</f>
        <v>147</v>
      </c>
      <c r="E180" s="69">
        <f>+'Cons spec tot e finalizzati'!F180-'Cons spec tot e finalizzati'!G180</f>
        <v>179</v>
      </c>
      <c r="F180" s="69">
        <f>+'Cons spec tot e finalizzati'!H180-'Cons spec tot e finalizzati'!I180</f>
        <v>211</v>
      </c>
      <c r="G180" s="64">
        <f>+'Cons spec tot e finalizzati'!J180-'Cons spec tot e finalizzati'!K180</f>
        <v>511</v>
      </c>
      <c r="H180" s="69">
        <f>+'Cons spec tot e finalizzati'!L180-'Cons spec tot e finalizzati'!M180</f>
        <v>628</v>
      </c>
      <c r="I180" s="69">
        <f>+'Cons spec tot e finalizzati'!N180-'Cons spec tot e finalizzati'!O180</f>
        <v>580</v>
      </c>
      <c r="J180" s="69">
        <f>+'Cons spec tot e finalizzati'!P180-'Cons spec tot e finalizzati'!Q180</f>
        <v>582</v>
      </c>
      <c r="K180" s="69">
        <f>+'Cons spec tot e finalizzati'!R180-'Cons spec tot e finalizzati'!S180</f>
        <v>566</v>
      </c>
      <c r="L180" s="69">
        <f>+'Cons spec tot e finalizzati'!T180-'Cons spec tot e finalizzati'!U180</f>
        <v>557</v>
      </c>
      <c r="M180" s="69">
        <f>+'Cons spec tot e finalizzati'!V180-'Cons spec tot e finalizzati'!W180</f>
        <v>586</v>
      </c>
    </row>
    <row r="181" spans="1:13" s="2" customFormat="1" ht="12.75">
      <c r="A181" s="114" t="s">
        <v>38</v>
      </c>
      <c r="B181" s="115"/>
      <c r="C181" s="117"/>
      <c r="D181" s="66">
        <f>+'Cons spec tot e finalizzati'!D181-'Cons spec tot e finalizzati'!E181</f>
        <v>2523</v>
      </c>
      <c r="E181" s="66">
        <f>+'Cons spec tot e finalizzati'!F181-'Cons spec tot e finalizzati'!G181</f>
        <v>2656</v>
      </c>
      <c r="F181" s="66">
        <f>+'Cons spec tot e finalizzati'!H181-'Cons spec tot e finalizzati'!I181</f>
        <v>2762</v>
      </c>
      <c r="G181" s="66">
        <f>+'Cons spec tot e finalizzati'!J181-'Cons spec tot e finalizzati'!K181</f>
        <v>2844</v>
      </c>
      <c r="H181" s="66">
        <f>+'Cons spec tot e finalizzati'!L181-'Cons spec tot e finalizzati'!M181</f>
        <v>3230</v>
      </c>
      <c r="I181" s="66">
        <f>+'Cons spec tot e finalizzati'!N181-'Cons spec tot e finalizzati'!O181</f>
        <v>3343</v>
      </c>
      <c r="J181" s="66">
        <f>+'Cons spec tot e finalizzati'!P181-'Cons spec tot e finalizzati'!Q181</f>
        <v>3403</v>
      </c>
      <c r="K181" s="66">
        <f>+'Cons spec tot e finalizzati'!R181-'Cons spec tot e finalizzati'!S181</f>
        <v>3478</v>
      </c>
      <c r="L181" s="66">
        <f>+'Cons spec tot e finalizzati'!T181-'Cons spec tot e finalizzati'!U181</f>
        <v>3842</v>
      </c>
      <c r="M181" s="66">
        <f>+'Cons spec tot e finalizzati'!V181-'Cons spec tot e finalizzati'!W181</f>
        <v>3868</v>
      </c>
    </row>
    <row r="182" spans="1:13" s="2" customFormat="1" ht="12.75">
      <c r="A182" s="27"/>
      <c r="B182" s="21" t="s">
        <v>33</v>
      </c>
      <c r="D182" s="49">
        <f>+'Cons spec tot e finalizzati'!D182-'Cons spec tot e finalizzati'!E182</f>
        <v>153</v>
      </c>
      <c r="E182" s="49">
        <f>+'Cons spec tot e finalizzati'!F182-'Cons spec tot e finalizzati'!G182</f>
        <v>244</v>
      </c>
      <c r="F182" s="43">
        <f>+'Cons spec tot e finalizzati'!H182-'Cons spec tot e finalizzati'!I182</f>
        <v>244</v>
      </c>
      <c r="G182" s="52">
        <f>+'Cons spec tot e finalizzati'!J182-'Cons spec tot e finalizzati'!K182</f>
        <v>170</v>
      </c>
      <c r="H182" s="49">
        <f>+'Cons spec tot e finalizzati'!L182-'Cons spec tot e finalizzati'!M182</f>
        <v>178</v>
      </c>
      <c r="I182" s="49">
        <f>+'Cons spec tot e finalizzati'!N182-'Cons spec tot e finalizzati'!O182</f>
        <v>156</v>
      </c>
      <c r="J182" s="49">
        <f>+'Cons spec tot e finalizzati'!P182-'Cons spec tot e finalizzati'!Q182</f>
        <v>112</v>
      </c>
      <c r="K182" s="49">
        <f>+'Cons spec tot e finalizzati'!R182-'Cons spec tot e finalizzati'!S182</f>
        <v>136</v>
      </c>
      <c r="L182" s="49">
        <f>+'Cons spec tot e finalizzati'!T182-'Cons spec tot e finalizzati'!U182</f>
        <v>100</v>
      </c>
      <c r="M182" s="49">
        <f>+'Cons spec tot e finalizzati'!V182-'Cons spec tot e finalizzati'!W182</f>
        <v>79</v>
      </c>
    </row>
    <row r="183" spans="1:13" s="2" customFormat="1" ht="12.75">
      <c r="A183" s="27"/>
      <c r="B183" s="21" t="s">
        <v>34</v>
      </c>
      <c r="D183" s="49">
        <f>+'Cons spec tot e finalizzati'!D183-'Cons spec tot e finalizzati'!E183</f>
        <v>1927</v>
      </c>
      <c r="E183" s="49">
        <f>+'Cons spec tot e finalizzati'!F183-'Cons spec tot e finalizzati'!G183</f>
        <v>1954</v>
      </c>
      <c r="F183" s="43">
        <f>+'Cons spec tot e finalizzati'!H183-'Cons spec tot e finalizzati'!I183</f>
        <v>2005</v>
      </c>
      <c r="G183" s="52">
        <f>+'Cons spec tot e finalizzati'!J183-'Cons spec tot e finalizzati'!K183</f>
        <v>2041</v>
      </c>
      <c r="H183" s="49">
        <f>+'Cons spec tot e finalizzati'!L183-'Cons spec tot e finalizzati'!M183</f>
        <v>1975</v>
      </c>
      <c r="I183" s="49">
        <f>+'Cons spec tot e finalizzati'!N183-'Cons spec tot e finalizzati'!O183</f>
        <v>2090</v>
      </c>
      <c r="J183" s="49">
        <f>+'Cons spec tot e finalizzati'!P183-'Cons spec tot e finalizzati'!Q183</f>
        <v>2118</v>
      </c>
      <c r="K183" s="49">
        <f>+'Cons spec tot e finalizzati'!R183-'Cons spec tot e finalizzati'!S183</f>
        <v>2162</v>
      </c>
      <c r="L183" s="49">
        <f>+'Cons spec tot e finalizzati'!T183-'Cons spec tot e finalizzati'!U183</f>
        <v>2114</v>
      </c>
      <c r="M183" s="49">
        <f>+'Cons spec tot e finalizzati'!V183-'Cons spec tot e finalizzati'!W183</f>
        <v>2110</v>
      </c>
    </row>
    <row r="184" spans="1:13" s="2" customFormat="1" ht="12.75">
      <c r="A184" s="27"/>
      <c r="B184" s="21" t="s">
        <v>35</v>
      </c>
      <c r="D184" s="49">
        <f>+'Cons spec tot e finalizzati'!D184-'Cons spec tot e finalizzati'!E184</f>
        <v>0</v>
      </c>
      <c r="E184" s="49">
        <f>+'Cons spec tot e finalizzati'!F184-'Cons spec tot e finalizzati'!G184</f>
        <v>0</v>
      </c>
      <c r="F184" s="43">
        <f>+'Cons spec tot e finalizzati'!H184-'Cons spec tot e finalizzati'!I184</f>
        <v>0</v>
      </c>
      <c r="G184" s="52">
        <f>+'Cons spec tot e finalizzati'!J184-'Cons spec tot e finalizzati'!K184</f>
        <v>26</v>
      </c>
      <c r="H184" s="49">
        <f>+'Cons spec tot e finalizzati'!L184-'Cons spec tot e finalizzati'!M184</f>
        <v>26</v>
      </c>
      <c r="I184" s="49">
        <f>+'Cons spec tot e finalizzati'!N184-'Cons spec tot e finalizzati'!O184</f>
        <v>27</v>
      </c>
      <c r="J184" s="49">
        <f>+'Cons spec tot e finalizzati'!P184-'Cons spec tot e finalizzati'!Q184</f>
        <v>2</v>
      </c>
      <c r="K184" s="49">
        <f>+'Cons spec tot e finalizzati'!R184-'Cons spec tot e finalizzati'!S184</f>
        <v>0</v>
      </c>
      <c r="L184" s="49">
        <f>+'Cons spec tot e finalizzati'!T184-'Cons spec tot e finalizzati'!U184</f>
        <v>0</v>
      </c>
      <c r="M184" s="49">
        <f>+'Cons spec tot e finalizzati'!V184-'Cons spec tot e finalizzati'!W184</f>
        <v>0</v>
      </c>
    </row>
    <row r="185" spans="1:13" s="2" customFormat="1" ht="12.75">
      <c r="A185" s="27"/>
      <c r="B185" s="21" t="s">
        <v>178</v>
      </c>
      <c r="D185" s="49">
        <f>+'Cons spec tot e finalizzati'!D185-'Cons spec tot e finalizzati'!E185</f>
        <v>0</v>
      </c>
      <c r="E185" s="49">
        <f>+'Cons spec tot e finalizzati'!F185-'Cons spec tot e finalizzati'!G185</f>
        <v>0</v>
      </c>
      <c r="F185" s="43">
        <f>+'Cons spec tot e finalizzati'!H185-'Cons spec tot e finalizzati'!I185</f>
        <v>0</v>
      </c>
      <c r="G185" s="52">
        <f>+'Cons spec tot e finalizzati'!J185-'Cons spec tot e finalizzati'!K185</f>
        <v>0</v>
      </c>
      <c r="H185" s="49">
        <f>+'Cons spec tot e finalizzati'!L185-'Cons spec tot e finalizzati'!M185</f>
        <v>383</v>
      </c>
      <c r="I185" s="49">
        <f>+'Cons spec tot e finalizzati'!N185-'Cons spec tot e finalizzati'!O185</f>
        <v>422</v>
      </c>
      <c r="J185" s="49">
        <f>+'Cons spec tot e finalizzati'!P185-'Cons spec tot e finalizzati'!Q185</f>
        <v>460</v>
      </c>
      <c r="K185" s="49">
        <f>+'Cons spec tot e finalizzati'!R185-'Cons spec tot e finalizzati'!S185</f>
        <v>505</v>
      </c>
      <c r="L185" s="49">
        <f>+'Cons spec tot e finalizzati'!T185-'Cons spec tot e finalizzati'!U185</f>
        <v>900</v>
      </c>
      <c r="M185" s="49">
        <f>+'Cons spec tot e finalizzati'!V185-'Cons spec tot e finalizzati'!W185</f>
        <v>886</v>
      </c>
    </row>
    <row r="186" spans="1:13" s="2" customFormat="1" ht="12.75">
      <c r="A186" s="27"/>
      <c r="B186" s="21" t="s">
        <v>36</v>
      </c>
      <c r="D186" s="49">
        <f>+'Cons spec tot e finalizzati'!D186-'Cons spec tot e finalizzati'!E186</f>
        <v>52</v>
      </c>
      <c r="E186" s="49">
        <f>+'Cons spec tot e finalizzati'!F186-'Cons spec tot e finalizzati'!G186</f>
        <v>42</v>
      </c>
      <c r="F186" s="43">
        <f>+'Cons spec tot e finalizzati'!H186-'Cons spec tot e finalizzati'!I186</f>
        <v>51</v>
      </c>
      <c r="G186" s="52">
        <f>+'Cons spec tot e finalizzati'!J186-'Cons spec tot e finalizzati'!K186</f>
        <v>50</v>
      </c>
      <c r="H186" s="49">
        <f>+'Cons spec tot e finalizzati'!L186-'Cons spec tot e finalizzati'!M186</f>
        <v>60</v>
      </c>
      <c r="I186" s="49">
        <f>+'Cons spec tot e finalizzati'!N186-'Cons spec tot e finalizzati'!O186</f>
        <v>76</v>
      </c>
      <c r="J186" s="49">
        <f>+'Cons spec tot e finalizzati'!P186-'Cons spec tot e finalizzati'!Q186</f>
        <v>85</v>
      </c>
      <c r="K186" s="49">
        <f>+'Cons spec tot e finalizzati'!R186-'Cons spec tot e finalizzati'!S186</f>
        <v>92</v>
      </c>
      <c r="L186" s="49">
        <f>+'Cons spec tot e finalizzati'!T186-'Cons spec tot e finalizzati'!U186</f>
        <v>92</v>
      </c>
      <c r="M186" s="49">
        <f>+'Cons spec tot e finalizzati'!V186-'Cons spec tot e finalizzati'!W186</f>
        <v>92</v>
      </c>
    </row>
    <row r="187" spans="1:13" s="2" customFormat="1" ht="12.75">
      <c r="A187" s="27"/>
      <c r="B187" s="21" t="s">
        <v>122</v>
      </c>
      <c r="D187" s="49">
        <f>+'Cons spec tot e finalizzati'!D187-'Cons spec tot e finalizzati'!E187</f>
        <v>269</v>
      </c>
      <c r="E187" s="49">
        <f>+'Cons spec tot e finalizzati'!F187-'Cons spec tot e finalizzati'!G187</f>
        <v>270</v>
      </c>
      <c r="F187" s="43">
        <f>+'Cons spec tot e finalizzati'!H187-'Cons spec tot e finalizzati'!I187</f>
        <v>338</v>
      </c>
      <c r="G187" s="52">
        <f>+'Cons spec tot e finalizzati'!J187-'Cons spec tot e finalizzati'!K187</f>
        <v>387</v>
      </c>
      <c r="H187" s="49">
        <f>+'Cons spec tot e finalizzati'!L187-'Cons spec tot e finalizzati'!M187</f>
        <v>417</v>
      </c>
      <c r="I187" s="49">
        <f>+'Cons spec tot e finalizzati'!N187-'Cons spec tot e finalizzati'!O187</f>
        <v>437</v>
      </c>
      <c r="J187" s="49">
        <f>+'Cons spec tot e finalizzati'!P187-'Cons spec tot e finalizzati'!Q187</f>
        <v>446</v>
      </c>
      <c r="K187" s="49">
        <f>+'Cons spec tot e finalizzati'!R187-'Cons spec tot e finalizzati'!S187</f>
        <v>438</v>
      </c>
      <c r="L187" s="49">
        <f>+'Cons spec tot e finalizzati'!T187-'Cons spec tot e finalizzati'!U187</f>
        <v>492</v>
      </c>
      <c r="M187" s="49">
        <f>+'Cons spec tot e finalizzati'!V187-'Cons spec tot e finalizzati'!W187</f>
        <v>561</v>
      </c>
    </row>
    <row r="188" spans="1:13" s="30" customFormat="1" ht="12.75">
      <c r="A188" s="57"/>
      <c r="B188" s="155" t="s">
        <v>123</v>
      </c>
      <c r="C188" s="158"/>
      <c r="D188" s="69">
        <f>+'Cons spec tot e finalizzati'!D188-'Cons spec tot e finalizzati'!E188</f>
        <v>122</v>
      </c>
      <c r="E188" s="69">
        <f>+'Cons spec tot e finalizzati'!F188-'Cons spec tot e finalizzati'!G188</f>
        <v>146</v>
      </c>
      <c r="F188" s="69">
        <f>+'Cons spec tot e finalizzati'!H188-'Cons spec tot e finalizzati'!I188</f>
        <v>124</v>
      </c>
      <c r="G188" s="64">
        <f>+'Cons spec tot e finalizzati'!J188-'Cons spec tot e finalizzati'!K188</f>
        <v>170</v>
      </c>
      <c r="H188" s="69">
        <f>+'Cons spec tot e finalizzati'!L188-'Cons spec tot e finalizzati'!M188</f>
        <v>191</v>
      </c>
      <c r="I188" s="69">
        <f>+'Cons spec tot e finalizzati'!N188-'Cons spec tot e finalizzati'!O188</f>
        <v>135</v>
      </c>
      <c r="J188" s="69">
        <f>+'Cons spec tot e finalizzati'!P188-'Cons spec tot e finalizzati'!Q188</f>
        <v>180</v>
      </c>
      <c r="K188" s="69">
        <f>+'Cons spec tot e finalizzati'!R188-'Cons spec tot e finalizzati'!S188</f>
        <v>145</v>
      </c>
      <c r="L188" s="69">
        <f>+'Cons spec tot e finalizzati'!T188-'Cons spec tot e finalizzati'!U188</f>
        <v>144</v>
      </c>
      <c r="M188" s="69">
        <f>+'Cons spec tot e finalizzati'!V188-'Cons spec tot e finalizzati'!W188</f>
        <v>140</v>
      </c>
    </row>
    <row r="189" spans="1:13" s="2" customFormat="1" ht="12.75">
      <c r="A189" s="114" t="s">
        <v>39</v>
      </c>
      <c r="B189" s="115"/>
      <c r="C189" s="117"/>
      <c r="D189" s="66">
        <f>+'Cons spec tot e finalizzati'!D189-'Cons spec tot e finalizzati'!E189</f>
        <v>2061</v>
      </c>
      <c r="E189" s="66">
        <f>+'Cons spec tot e finalizzati'!F189-'Cons spec tot e finalizzati'!G189</f>
        <v>2175</v>
      </c>
      <c r="F189" s="66">
        <f>+'Cons spec tot e finalizzati'!H189-'Cons spec tot e finalizzati'!I189</f>
        <v>2364</v>
      </c>
      <c r="G189" s="66">
        <f>+'Cons spec tot e finalizzati'!J189-'Cons spec tot e finalizzati'!K189</f>
        <v>2542</v>
      </c>
      <c r="H189" s="66">
        <f>+'Cons spec tot e finalizzati'!L189-'Cons spec tot e finalizzati'!M189</f>
        <v>2821</v>
      </c>
      <c r="I189" s="66">
        <f>+'Cons spec tot e finalizzati'!N189-'Cons spec tot e finalizzati'!O189</f>
        <v>2964</v>
      </c>
      <c r="J189" s="66">
        <f>+'Cons spec tot e finalizzati'!P189-'Cons spec tot e finalizzati'!Q189</f>
        <v>3120</v>
      </c>
      <c r="K189" s="66">
        <f>+'Cons spec tot e finalizzati'!R189-'Cons spec tot e finalizzati'!S189</f>
        <v>3147</v>
      </c>
      <c r="L189" s="66">
        <f>+'Cons spec tot e finalizzati'!T189-'Cons spec tot e finalizzati'!U189</f>
        <v>3251</v>
      </c>
      <c r="M189" s="66">
        <f>+'Cons spec tot e finalizzati'!V189-'Cons spec tot e finalizzati'!W189</f>
        <v>3174</v>
      </c>
    </row>
    <row r="190" spans="1:13" s="2" customFormat="1" ht="12.75">
      <c r="A190" s="27"/>
      <c r="B190" s="21" t="s">
        <v>33</v>
      </c>
      <c r="D190" s="49">
        <f>+'Cons spec tot e finalizzati'!D190-'Cons spec tot e finalizzati'!E190</f>
        <v>80</v>
      </c>
      <c r="E190" s="49">
        <f>+'Cons spec tot e finalizzati'!F190-'Cons spec tot e finalizzati'!G190</f>
        <v>104</v>
      </c>
      <c r="F190" s="43">
        <f>+'Cons spec tot e finalizzati'!H190-'Cons spec tot e finalizzati'!I190</f>
        <v>102</v>
      </c>
      <c r="G190" s="52">
        <f>+'Cons spec tot e finalizzati'!J190-'Cons spec tot e finalizzati'!K190</f>
        <v>159</v>
      </c>
      <c r="H190" s="49">
        <f>+'Cons spec tot e finalizzati'!L190-'Cons spec tot e finalizzati'!M190</f>
        <v>115</v>
      </c>
      <c r="I190" s="49">
        <f>+'Cons spec tot e finalizzati'!N190-'Cons spec tot e finalizzati'!O190</f>
        <v>144</v>
      </c>
      <c r="J190" s="49">
        <f>+'Cons spec tot e finalizzati'!P190-'Cons spec tot e finalizzati'!Q190</f>
        <v>126</v>
      </c>
      <c r="K190" s="49">
        <f>+'Cons spec tot e finalizzati'!R190-'Cons spec tot e finalizzati'!S190</f>
        <v>174</v>
      </c>
      <c r="L190" s="49">
        <f>+'Cons spec tot e finalizzati'!T190-'Cons spec tot e finalizzati'!U190</f>
        <v>112</v>
      </c>
      <c r="M190" s="49">
        <f>+'Cons spec tot e finalizzati'!V190-'Cons spec tot e finalizzati'!W190</f>
        <v>86</v>
      </c>
    </row>
    <row r="191" spans="1:13" s="2" customFormat="1" ht="12.75">
      <c r="A191" s="27"/>
      <c r="B191" s="21" t="s">
        <v>34</v>
      </c>
      <c r="D191" s="49">
        <f>+'Cons spec tot e finalizzati'!D191-'Cons spec tot e finalizzati'!E191</f>
        <v>1307</v>
      </c>
      <c r="E191" s="49">
        <f>+'Cons spec tot e finalizzati'!F191-'Cons spec tot e finalizzati'!G191</f>
        <v>1402</v>
      </c>
      <c r="F191" s="43">
        <f>+'Cons spec tot e finalizzati'!H191-'Cons spec tot e finalizzati'!I191</f>
        <v>1526</v>
      </c>
      <c r="G191" s="52">
        <f>+'Cons spec tot e finalizzati'!J191-'Cons spec tot e finalizzati'!K191</f>
        <v>1516</v>
      </c>
      <c r="H191" s="49">
        <f>+'Cons spec tot e finalizzati'!L191-'Cons spec tot e finalizzati'!M191</f>
        <v>1708</v>
      </c>
      <c r="I191" s="49">
        <f>+'Cons spec tot e finalizzati'!N191-'Cons spec tot e finalizzati'!O191</f>
        <v>1805</v>
      </c>
      <c r="J191" s="49">
        <f>+'Cons spec tot e finalizzati'!P191-'Cons spec tot e finalizzati'!Q191</f>
        <v>1929</v>
      </c>
      <c r="K191" s="49">
        <f>+'Cons spec tot e finalizzati'!R191-'Cons spec tot e finalizzati'!S191</f>
        <v>1862</v>
      </c>
      <c r="L191" s="49">
        <f>+'Cons spec tot e finalizzati'!T191-'Cons spec tot e finalizzati'!U191</f>
        <v>1992</v>
      </c>
      <c r="M191" s="49">
        <f>+'Cons spec tot e finalizzati'!V191-'Cons spec tot e finalizzati'!W191</f>
        <v>1912</v>
      </c>
    </row>
    <row r="192" spans="1:13" s="2" customFormat="1" ht="12.75">
      <c r="A192" s="27"/>
      <c r="B192" s="21" t="s">
        <v>35</v>
      </c>
      <c r="D192" s="49">
        <f>+'Cons spec tot e finalizzati'!D192-'Cons spec tot e finalizzati'!E192</f>
        <v>0</v>
      </c>
      <c r="E192" s="49">
        <f>+'Cons spec tot e finalizzati'!F192-'Cons spec tot e finalizzati'!G192</f>
        <v>0</v>
      </c>
      <c r="F192" s="43">
        <f>+'Cons spec tot e finalizzati'!H192-'Cons spec tot e finalizzati'!I192</f>
        <v>0</v>
      </c>
      <c r="G192" s="52">
        <f>+'Cons spec tot e finalizzati'!J192-'Cons spec tot e finalizzati'!K192</f>
        <v>26</v>
      </c>
      <c r="H192" s="49">
        <f>+'Cons spec tot e finalizzati'!L192-'Cons spec tot e finalizzati'!M192</f>
        <v>30</v>
      </c>
      <c r="I192" s="49">
        <f>+'Cons spec tot e finalizzati'!N192-'Cons spec tot e finalizzati'!O192</f>
        <v>40</v>
      </c>
      <c r="J192" s="49">
        <f>+'Cons spec tot e finalizzati'!P192-'Cons spec tot e finalizzati'!Q192</f>
        <v>29</v>
      </c>
      <c r="K192" s="49">
        <f>+'Cons spec tot e finalizzati'!R192-'Cons spec tot e finalizzati'!S192</f>
        <v>0</v>
      </c>
      <c r="L192" s="49">
        <f>+'Cons spec tot e finalizzati'!T192-'Cons spec tot e finalizzati'!U192</f>
        <v>0</v>
      </c>
      <c r="M192" s="49">
        <f>+'Cons spec tot e finalizzati'!V192-'Cons spec tot e finalizzati'!W192</f>
        <v>0</v>
      </c>
    </row>
    <row r="193" spans="1:13" s="2" customFormat="1" ht="12.75">
      <c r="A193" s="27"/>
      <c r="B193" s="21" t="s">
        <v>178</v>
      </c>
      <c r="D193" s="49">
        <f>+'Cons spec tot e finalizzati'!D193-'Cons spec tot e finalizzati'!E193</f>
        <v>0</v>
      </c>
      <c r="E193" s="49">
        <f>+'Cons spec tot e finalizzati'!F193-'Cons spec tot e finalizzati'!G193</f>
        <v>0</v>
      </c>
      <c r="F193" s="43">
        <f>+'Cons spec tot e finalizzati'!H193-'Cons spec tot e finalizzati'!I193</f>
        <v>0</v>
      </c>
      <c r="G193" s="52">
        <f>+'Cons spec tot e finalizzati'!J193-'Cons spec tot e finalizzati'!K193</f>
        <v>0</v>
      </c>
      <c r="H193" s="49">
        <f>+'Cons spec tot e finalizzati'!L193-'Cons spec tot e finalizzati'!M193</f>
        <v>0</v>
      </c>
      <c r="I193" s="49">
        <f>+'Cons spec tot e finalizzati'!N193-'Cons spec tot e finalizzati'!O193</f>
        <v>0</v>
      </c>
      <c r="J193" s="49">
        <f>+'Cons spec tot e finalizzati'!P193-'Cons spec tot e finalizzati'!Q193</f>
        <v>0</v>
      </c>
      <c r="K193" s="49">
        <f>+'Cons spec tot e finalizzati'!R193-'Cons spec tot e finalizzati'!S193</f>
        <v>0</v>
      </c>
      <c r="L193" s="49">
        <f>+'Cons spec tot e finalizzati'!T193-'Cons spec tot e finalizzati'!U193</f>
        <v>55</v>
      </c>
      <c r="M193" s="49">
        <f>+'Cons spec tot e finalizzati'!V193-'Cons spec tot e finalizzati'!W193</f>
        <v>74</v>
      </c>
    </row>
    <row r="194" spans="1:13" s="2" customFormat="1" ht="12.75">
      <c r="A194" s="27"/>
      <c r="B194" s="21" t="s">
        <v>36</v>
      </c>
      <c r="D194" s="49">
        <f>+'Cons spec tot e finalizzati'!D194-'Cons spec tot e finalizzati'!E194</f>
        <v>35</v>
      </c>
      <c r="E194" s="49">
        <f>+'Cons spec tot e finalizzati'!F194-'Cons spec tot e finalizzati'!G194</f>
        <v>29</v>
      </c>
      <c r="F194" s="43">
        <f>+'Cons spec tot e finalizzati'!H194-'Cons spec tot e finalizzati'!I194</f>
        <v>29</v>
      </c>
      <c r="G194" s="52">
        <f>+'Cons spec tot e finalizzati'!J194-'Cons spec tot e finalizzati'!K194</f>
        <v>29</v>
      </c>
      <c r="H194" s="49">
        <f>+'Cons spec tot e finalizzati'!L194-'Cons spec tot e finalizzati'!M194</f>
        <v>35</v>
      </c>
      <c r="I194" s="49">
        <f>+'Cons spec tot e finalizzati'!N194-'Cons spec tot e finalizzati'!O194</f>
        <v>44</v>
      </c>
      <c r="J194" s="49">
        <f>+'Cons spec tot e finalizzati'!P194-'Cons spec tot e finalizzati'!Q194</f>
        <v>49</v>
      </c>
      <c r="K194" s="49">
        <f>+'Cons spec tot e finalizzati'!R194-'Cons spec tot e finalizzati'!S194</f>
        <v>53</v>
      </c>
      <c r="L194" s="49">
        <f>+'Cons spec tot e finalizzati'!T194-'Cons spec tot e finalizzati'!U194</f>
        <v>53</v>
      </c>
      <c r="M194" s="49">
        <f>+'Cons spec tot e finalizzati'!V194-'Cons spec tot e finalizzati'!W194</f>
        <v>53</v>
      </c>
    </row>
    <row r="195" spans="1:13" s="2" customFormat="1" ht="12.75">
      <c r="A195" s="27"/>
      <c r="B195" s="21" t="s">
        <v>122</v>
      </c>
      <c r="D195" s="49">
        <f>+'Cons spec tot e finalizzati'!D195-'Cons spec tot e finalizzati'!E195</f>
        <v>325</v>
      </c>
      <c r="E195" s="49">
        <f>+'Cons spec tot e finalizzati'!F195-'Cons spec tot e finalizzati'!G195</f>
        <v>329</v>
      </c>
      <c r="F195" s="43">
        <f>+'Cons spec tot e finalizzati'!H195-'Cons spec tot e finalizzati'!I195</f>
        <v>393</v>
      </c>
      <c r="G195" s="52">
        <f>+'Cons spec tot e finalizzati'!J195-'Cons spec tot e finalizzati'!K195</f>
        <v>441</v>
      </c>
      <c r="H195" s="49">
        <f>+'Cons spec tot e finalizzati'!L195-'Cons spec tot e finalizzati'!M195</f>
        <v>474</v>
      </c>
      <c r="I195" s="49">
        <f>+'Cons spec tot e finalizzati'!N195-'Cons spec tot e finalizzati'!O195</f>
        <v>506</v>
      </c>
      <c r="J195" s="49">
        <f>+'Cons spec tot e finalizzati'!P195-'Cons spec tot e finalizzati'!Q195</f>
        <v>566</v>
      </c>
      <c r="K195" s="49">
        <f>+'Cons spec tot e finalizzati'!R195-'Cons spec tot e finalizzati'!S195</f>
        <v>619</v>
      </c>
      <c r="L195" s="49">
        <f>+'Cons spec tot e finalizzati'!T195-'Cons spec tot e finalizzati'!U195</f>
        <v>637</v>
      </c>
      <c r="M195" s="49">
        <f>+'Cons spec tot e finalizzati'!V195-'Cons spec tot e finalizzati'!W195</f>
        <v>663</v>
      </c>
    </row>
    <row r="196" spans="1:13" s="30" customFormat="1" ht="12.75">
      <c r="A196" s="57"/>
      <c r="B196" s="155" t="s">
        <v>123</v>
      </c>
      <c r="C196" s="158"/>
      <c r="D196" s="69">
        <f>+'Cons spec tot e finalizzati'!D196-'Cons spec tot e finalizzati'!E196</f>
        <v>314</v>
      </c>
      <c r="E196" s="69">
        <f>+'Cons spec tot e finalizzati'!F196-'Cons spec tot e finalizzati'!G196</f>
        <v>311</v>
      </c>
      <c r="F196" s="69">
        <f>+'Cons spec tot e finalizzati'!H196-'Cons spec tot e finalizzati'!I196</f>
        <v>315</v>
      </c>
      <c r="G196" s="64">
        <f>+'Cons spec tot e finalizzati'!J196-'Cons spec tot e finalizzati'!K196</f>
        <v>371</v>
      </c>
      <c r="H196" s="69">
        <f>+'Cons spec tot e finalizzati'!L196-'Cons spec tot e finalizzati'!M196</f>
        <v>459</v>
      </c>
      <c r="I196" s="69">
        <f>+'Cons spec tot e finalizzati'!N196-'Cons spec tot e finalizzati'!O196</f>
        <v>425</v>
      </c>
      <c r="J196" s="69">
        <f>+'Cons spec tot e finalizzati'!P196-'Cons spec tot e finalizzati'!Q196</f>
        <v>421</v>
      </c>
      <c r="K196" s="69">
        <f>+'Cons spec tot e finalizzati'!R196-'Cons spec tot e finalizzati'!S196</f>
        <v>439</v>
      </c>
      <c r="L196" s="69">
        <f>+'Cons spec tot e finalizzati'!T196-'Cons spec tot e finalizzati'!U196</f>
        <v>402</v>
      </c>
      <c r="M196" s="69">
        <f>+'Cons spec tot e finalizzati'!V196-'Cons spec tot e finalizzati'!W196</f>
        <v>386</v>
      </c>
    </row>
    <row r="197" spans="1:13" s="2" customFormat="1" ht="12.75">
      <c r="A197" s="114" t="s">
        <v>40</v>
      </c>
      <c r="B197" s="115"/>
      <c r="C197" s="117"/>
      <c r="D197" s="66">
        <f>+'Cons spec tot e finalizzati'!D197-'Cons spec tot e finalizzati'!E197</f>
        <v>2143</v>
      </c>
      <c r="E197" s="66">
        <f>+'Cons spec tot e finalizzati'!F197-'Cons spec tot e finalizzati'!G197</f>
        <v>2288</v>
      </c>
      <c r="F197" s="66">
        <f>+'Cons spec tot e finalizzati'!H197-'Cons spec tot e finalizzati'!I197</f>
        <v>2609</v>
      </c>
      <c r="G197" s="66">
        <f>+'Cons spec tot e finalizzati'!J197-'Cons spec tot e finalizzati'!K197</f>
        <v>2694</v>
      </c>
      <c r="H197" s="66">
        <f>+'Cons spec tot e finalizzati'!L197-'Cons spec tot e finalizzati'!M197</f>
        <v>2995</v>
      </c>
      <c r="I197" s="66">
        <f>+'Cons spec tot e finalizzati'!N197-'Cons spec tot e finalizzati'!O197</f>
        <v>2996</v>
      </c>
      <c r="J197" s="66">
        <f>+'Cons spec tot e finalizzati'!P197-'Cons spec tot e finalizzati'!Q197</f>
        <v>3188</v>
      </c>
      <c r="K197" s="66">
        <f>+'Cons spec tot e finalizzati'!R197-'Cons spec tot e finalizzati'!S197</f>
        <v>3168</v>
      </c>
      <c r="L197" s="66">
        <f>+'Cons spec tot e finalizzati'!T197-'Cons spec tot e finalizzati'!U197</f>
        <v>3136</v>
      </c>
      <c r="M197" s="66">
        <f>+'Cons spec tot e finalizzati'!V197-'Cons spec tot e finalizzati'!W197</f>
        <v>3291</v>
      </c>
    </row>
    <row r="198" spans="1:13" s="2" customFormat="1" ht="12.75">
      <c r="A198" s="27"/>
      <c r="B198" s="21" t="s">
        <v>33</v>
      </c>
      <c r="D198" s="49">
        <f>+'Cons spec tot e finalizzati'!D198-'Cons spec tot e finalizzati'!E198</f>
        <v>94</v>
      </c>
      <c r="E198" s="49">
        <f>+'Cons spec tot e finalizzati'!F198-'Cons spec tot e finalizzati'!G198</f>
        <v>149</v>
      </c>
      <c r="F198" s="43">
        <f>+'Cons spec tot e finalizzati'!H198-'Cons spec tot e finalizzati'!I198</f>
        <v>145</v>
      </c>
      <c r="G198" s="52">
        <f>+'Cons spec tot e finalizzati'!J198-'Cons spec tot e finalizzati'!K198</f>
        <v>89</v>
      </c>
      <c r="H198" s="49">
        <f>+'Cons spec tot e finalizzati'!L198-'Cons spec tot e finalizzati'!M198</f>
        <v>70</v>
      </c>
      <c r="I198" s="49">
        <f>+'Cons spec tot e finalizzati'!N198-'Cons spec tot e finalizzati'!O198</f>
        <v>138</v>
      </c>
      <c r="J198" s="49">
        <f>+'Cons spec tot e finalizzati'!P198-'Cons spec tot e finalizzati'!Q198</f>
        <v>155</v>
      </c>
      <c r="K198" s="49">
        <f>+'Cons spec tot e finalizzati'!R198-'Cons spec tot e finalizzati'!S198</f>
        <v>224</v>
      </c>
      <c r="L198" s="49">
        <f>+'Cons spec tot e finalizzati'!T198-'Cons spec tot e finalizzati'!U198</f>
        <v>148</v>
      </c>
      <c r="M198" s="49">
        <f>+'Cons spec tot e finalizzati'!V198-'Cons spec tot e finalizzati'!W198</f>
        <v>102</v>
      </c>
    </row>
    <row r="199" spans="1:13" s="2" customFormat="1" ht="12.75">
      <c r="A199" s="27"/>
      <c r="B199" s="21" t="s">
        <v>34</v>
      </c>
      <c r="D199" s="49">
        <f>+'Cons spec tot e finalizzati'!D199-'Cons spec tot e finalizzati'!E199</f>
        <v>1565</v>
      </c>
      <c r="E199" s="49">
        <f>+'Cons spec tot e finalizzati'!F199-'Cons spec tot e finalizzati'!G199</f>
        <v>1628</v>
      </c>
      <c r="F199" s="43">
        <f>+'Cons spec tot e finalizzati'!H199-'Cons spec tot e finalizzati'!I199</f>
        <v>1858</v>
      </c>
      <c r="G199" s="52">
        <f>+'Cons spec tot e finalizzati'!J199-'Cons spec tot e finalizzati'!K199</f>
        <v>1753</v>
      </c>
      <c r="H199" s="49">
        <f>+'Cons spec tot e finalizzati'!L199-'Cons spec tot e finalizzati'!M199</f>
        <v>2070</v>
      </c>
      <c r="I199" s="49">
        <f>+'Cons spec tot e finalizzati'!N199-'Cons spec tot e finalizzati'!O199</f>
        <v>1922</v>
      </c>
      <c r="J199" s="49">
        <f>+'Cons spec tot e finalizzati'!P199-'Cons spec tot e finalizzati'!Q199</f>
        <v>2060</v>
      </c>
      <c r="K199" s="49">
        <f>+'Cons spec tot e finalizzati'!R199-'Cons spec tot e finalizzati'!S199</f>
        <v>2090</v>
      </c>
      <c r="L199" s="49">
        <f>+'Cons spec tot e finalizzati'!T199-'Cons spec tot e finalizzati'!U199</f>
        <v>2059</v>
      </c>
      <c r="M199" s="49">
        <f>+'Cons spec tot e finalizzati'!V199-'Cons spec tot e finalizzati'!W199</f>
        <v>2066</v>
      </c>
    </row>
    <row r="200" spans="1:13" s="2" customFormat="1" ht="12.75">
      <c r="A200" s="27"/>
      <c r="B200" s="21" t="s">
        <v>35</v>
      </c>
      <c r="D200" s="49">
        <f>+'Cons spec tot e finalizzati'!D200-'Cons spec tot e finalizzati'!E200</f>
        <v>0</v>
      </c>
      <c r="E200" s="49">
        <f>+'Cons spec tot e finalizzati'!F200-'Cons spec tot e finalizzati'!G200</f>
        <v>0</v>
      </c>
      <c r="F200" s="43">
        <f>+'Cons spec tot e finalizzati'!H200-'Cons spec tot e finalizzati'!I200</f>
        <v>0</v>
      </c>
      <c r="G200" s="52">
        <f>+'Cons spec tot e finalizzati'!J200-'Cons spec tot e finalizzati'!K200</f>
        <v>24</v>
      </c>
      <c r="H200" s="49">
        <f>+'Cons spec tot e finalizzati'!L200-'Cons spec tot e finalizzati'!M200</f>
        <v>39</v>
      </c>
      <c r="I200" s="49">
        <f>+'Cons spec tot e finalizzati'!N200-'Cons spec tot e finalizzati'!O200</f>
        <v>41</v>
      </c>
      <c r="J200" s="49">
        <f>+'Cons spec tot e finalizzati'!P200-'Cons spec tot e finalizzati'!Q200</f>
        <v>32</v>
      </c>
      <c r="K200" s="49">
        <f>+'Cons spec tot e finalizzati'!R200-'Cons spec tot e finalizzati'!S200</f>
        <v>0</v>
      </c>
      <c r="L200" s="49">
        <f>+'Cons spec tot e finalizzati'!T200-'Cons spec tot e finalizzati'!U200</f>
        <v>0</v>
      </c>
      <c r="M200" s="49">
        <f>+'Cons spec tot e finalizzati'!V200-'Cons spec tot e finalizzati'!W200</f>
        <v>0</v>
      </c>
    </row>
    <row r="201" spans="1:13" s="2" customFormat="1" ht="12.75">
      <c r="A201" s="27"/>
      <c r="B201" s="21" t="s">
        <v>178</v>
      </c>
      <c r="D201" s="49">
        <f>+'Cons spec tot e finalizzati'!D201-'Cons spec tot e finalizzati'!E201</f>
        <v>0</v>
      </c>
      <c r="E201" s="49">
        <f>+'Cons spec tot e finalizzati'!F201-'Cons spec tot e finalizzati'!G201</f>
        <v>0</v>
      </c>
      <c r="F201" s="43">
        <f>+'Cons spec tot e finalizzati'!H201-'Cons spec tot e finalizzati'!I201</f>
        <v>0</v>
      </c>
      <c r="G201" s="52">
        <f>+'Cons spec tot e finalizzati'!J201-'Cons spec tot e finalizzati'!K201</f>
        <v>0</v>
      </c>
      <c r="H201" s="49">
        <f>+'Cons spec tot e finalizzati'!L201-'Cons spec tot e finalizzati'!M201</f>
        <v>0</v>
      </c>
      <c r="I201" s="49">
        <f>+'Cons spec tot e finalizzati'!N201-'Cons spec tot e finalizzati'!O201</f>
        <v>0</v>
      </c>
      <c r="J201" s="49">
        <f>+'Cons spec tot e finalizzati'!P201-'Cons spec tot e finalizzati'!Q201</f>
        <v>0</v>
      </c>
      <c r="K201" s="49">
        <f>+'Cons spec tot e finalizzati'!R201-'Cons spec tot e finalizzati'!S201</f>
        <v>0</v>
      </c>
      <c r="L201" s="49">
        <f>+'Cons spec tot e finalizzati'!T201-'Cons spec tot e finalizzati'!U201</f>
        <v>92</v>
      </c>
      <c r="M201" s="49">
        <f>+'Cons spec tot e finalizzati'!V201-'Cons spec tot e finalizzati'!W201</f>
        <v>201</v>
      </c>
    </row>
    <row r="202" spans="1:13" s="2" customFormat="1" ht="12.75">
      <c r="A202" s="27"/>
      <c r="B202" s="21" t="s">
        <v>36</v>
      </c>
      <c r="D202" s="49">
        <f>+'Cons spec tot e finalizzati'!D202-'Cons spec tot e finalizzati'!E202</f>
        <v>0</v>
      </c>
      <c r="E202" s="49">
        <f>+'Cons spec tot e finalizzati'!F202-'Cons spec tot e finalizzati'!G202</f>
        <v>0</v>
      </c>
      <c r="F202" s="43">
        <f>+'Cons spec tot e finalizzati'!H202-'Cons spec tot e finalizzati'!I202</f>
        <v>0</v>
      </c>
      <c r="G202" s="52">
        <f>+'Cons spec tot e finalizzati'!J202-'Cons spec tot e finalizzati'!K202</f>
        <v>0</v>
      </c>
      <c r="H202" s="49">
        <f>+'Cons spec tot e finalizzati'!L202-'Cons spec tot e finalizzati'!M202</f>
        <v>0</v>
      </c>
      <c r="I202" s="49">
        <f>+'Cons spec tot e finalizzati'!N202-'Cons spec tot e finalizzati'!O202</f>
        <v>0</v>
      </c>
      <c r="J202" s="49">
        <f>+'Cons spec tot e finalizzati'!P202-'Cons spec tot e finalizzati'!Q202</f>
        <v>0</v>
      </c>
      <c r="K202" s="49">
        <f>+'Cons spec tot e finalizzati'!R202-'Cons spec tot e finalizzati'!S202</f>
        <v>0</v>
      </c>
      <c r="L202" s="49">
        <f>+'Cons spec tot e finalizzati'!T202-'Cons spec tot e finalizzati'!U202</f>
        <v>0</v>
      </c>
      <c r="M202" s="49">
        <f>+'Cons spec tot e finalizzati'!V202-'Cons spec tot e finalizzati'!W202</f>
        <v>0</v>
      </c>
    </row>
    <row r="203" spans="1:13" s="2" customFormat="1" ht="12.75">
      <c r="A203" s="27"/>
      <c r="B203" s="21" t="s">
        <v>122</v>
      </c>
      <c r="D203" s="49">
        <f>+'Cons spec tot e finalizzati'!D203-'Cons spec tot e finalizzati'!E203</f>
        <v>457</v>
      </c>
      <c r="E203" s="49">
        <f>+'Cons spec tot e finalizzati'!F203-'Cons spec tot e finalizzati'!G203</f>
        <v>478</v>
      </c>
      <c r="F203" s="43">
        <f>+'Cons spec tot e finalizzati'!H203-'Cons spec tot e finalizzati'!I203</f>
        <v>588</v>
      </c>
      <c r="G203" s="52">
        <f>+'Cons spec tot e finalizzati'!J203-'Cons spec tot e finalizzati'!K203</f>
        <v>634</v>
      </c>
      <c r="H203" s="49">
        <f>+'Cons spec tot e finalizzati'!L203-'Cons spec tot e finalizzati'!M203</f>
        <v>622</v>
      </c>
      <c r="I203" s="49">
        <f>+'Cons spec tot e finalizzati'!N203-'Cons spec tot e finalizzati'!O203</f>
        <v>741</v>
      </c>
      <c r="J203" s="49">
        <f>+'Cons spec tot e finalizzati'!P203-'Cons spec tot e finalizzati'!Q203</f>
        <v>828</v>
      </c>
      <c r="K203" s="49">
        <f>+'Cons spec tot e finalizzati'!R203-'Cons spec tot e finalizzati'!S203</f>
        <v>771</v>
      </c>
      <c r="L203" s="49">
        <f>+'Cons spec tot e finalizzati'!T203-'Cons spec tot e finalizzati'!U203</f>
        <v>748</v>
      </c>
      <c r="M203" s="49">
        <f>+'Cons spec tot e finalizzati'!V203-'Cons spec tot e finalizzati'!W203</f>
        <v>800</v>
      </c>
    </row>
    <row r="204" spans="1:13" s="30" customFormat="1" ht="12.75">
      <c r="A204" s="57"/>
      <c r="B204" s="155" t="s">
        <v>123</v>
      </c>
      <c r="C204" s="158"/>
      <c r="D204" s="69">
        <f>+'Cons spec tot e finalizzati'!D204-'Cons spec tot e finalizzati'!E204</f>
        <v>27</v>
      </c>
      <c r="E204" s="69">
        <f>+'Cons spec tot e finalizzati'!F204-'Cons spec tot e finalizzati'!G204</f>
        <v>33</v>
      </c>
      <c r="F204" s="69">
        <f>+'Cons spec tot e finalizzati'!H204-'Cons spec tot e finalizzati'!I204</f>
        <v>18</v>
      </c>
      <c r="G204" s="64">
        <f>+'Cons spec tot e finalizzati'!J204-'Cons spec tot e finalizzati'!K204</f>
        <v>194</v>
      </c>
      <c r="H204" s="69">
        <f>+'Cons spec tot e finalizzati'!L204-'Cons spec tot e finalizzati'!M204</f>
        <v>194</v>
      </c>
      <c r="I204" s="69">
        <f>+'Cons spec tot e finalizzati'!N204-'Cons spec tot e finalizzati'!O204</f>
        <v>154</v>
      </c>
      <c r="J204" s="69">
        <f>+'Cons spec tot e finalizzati'!P204-'Cons spec tot e finalizzati'!Q204</f>
        <v>113</v>
      </c>
      <c r="K204" s="69">
        <f>+'Cons spec tot e finalizzati'!R204-'Cons spec tot e finalizzati'!S204</f>
        <v>83</v>
      </c>
      <c r="L204" s="69">
        <f>+'Cons spec tot e finalizzati'!T204-'Cons spec tot e finalizzati'!U204</f>
        <v>89</v>
      </c>
      <c r="M204" s="69">
        <f>+'Cons spec tot e finalizzati'!V204-'Cons spec tot e finalizzati'!W204</f>
        <v>122</v>
      </c>
    </row>
    <row r="205" spans="1:13" s="2" customFormat="1" ht="12.75">
      <c r="A205" s="114" t="s">
        <v>41</v>
      </c>
      <c r="B205" s="115"/>
      <c r="C205" s="117"/>
      <c r="D205" s="66">
        <f>+'Cons spec tot e finalizzati'!D205-'Cons spec tot e finalizzati'!E205</f>
        <v>3149</v>
      </c>
      <c r="E205" s="66">
        <f>+'Cons spec tot e finalizzati'!F205-'Cons spec tot e finalizzati'!G205</f>
        <v>3287</v>
      </c>
      <c r="F205" s="66">
        <f>+'Cons spec tot e finalizzati'!H205-'Cons spec tot e finalizzati'!I205</f>
        <v>3312</v>
      </c>
      <c r="G205" s="66">
        <f>+'Cons spec tot e finalizzati'!J205-'Cons spec tot e finalizzati'!K205</f>
        <v>3424</v>
      </c>
      <c r="H205" s="66">
        <f>+'Cons spec tot e finalizzati'!L205-'Cons spec tot e finalizzati'!M205</f>
        <v>3530</v>
      </c>
      <c r="I205" s="66">
        <f>+'Cons spec tot e finalizzati'!N205-'Cons spec tot e finalizzati'!O205</f>
        <v>3386</v>
      </c>
      <c r="J205" s="66">
        <f>+'Cons spec tot e finalizzati'!P205-'Cons spec tot e finalizzati'!Q205</f>
        <v>3492</v>
      </c>
      <c r="K205" s="66">
        <f>+'Cons spec tot e finalizzati'!R205-'Cons spec tot e finalizzati'!S205</f>
        <v>3382</v>
      </c>
      <c r="L205" s="66">
        <f>+'Cons spec tot e finalizzati'!T205-'Cons spec tot e finalizzati'!U205</f>
        <v>3635</v>
      </c>
      <c r="M205" s="66">
        <f>+'Cons spec tot e finalizzati'!V205-'Cons spec tot e finalizzati'!W205</f>
        <v>3879</v>
      </c>
    </row>
    <row r="206" spans="1:13" s="2" customFormat="1" ht="12.75">
      <c r="A206" s="27"/>
      <c r="B206" s="21" t="s">
        <v>33</v>
      </c>
      <c r="D206" s="49">
        <f>+'Cons spec tot e finalizzati'!D206-'Cons spec tot e finalizzati'!E206</f>
        <v>180</v>
      </c>
      <c r="E206" s="49">
        <f>+'Cons spec tot e finalizzati'!F206-'Cons spec tot e finalizzati'!G206</f>
        <v>212</v>
      </c>
      <c r="F206" s="43">
        <f>+'Cons spec tot e finalizzati'!H206-'Cons spec tot e finalizzati'!I206</f>
        <v>259</v>
      </c>
      <c r="G206" s="52">
        <f>+'Cons spec tot e finalizzati'!J206-'Cons spec tot e finalizzati'!K206</f>
        <v>206</v>
      </c>
      <c r="H206" s="49">
        <f>+'Cons spec tot e finalizzati'!L206-'Cons spec tot e finalizzati'!M206</f>
        <v>158</v>
      </c>
      <c r="I206" s="49">
        <f>+'Cons spec tot e finalizzati'!N206-'Cons spec tot e finalizzati'!O206</f>
        <v>156</v>
      </c>
      <c r="J206" s="49">
        <f>+'Cons spec tot e finalizzati'!P206-'Cons spec tot e finalizzati'!Q206</f>
        <v>184</v>
      </c>
      <c r="K206" s="49">
        <f>+'Cons spec tot e finalizzati'!R206-'Cons spec tot e finalizzati'!S206</f>
        <v>137</v>
      </c>
      <c r="L206" s="49">
        <f>+'Cons spec tot e finalizzati'!T206-'Cons spec tot e finalizzati'!U206</f>
        <v>147</v>
      </c>
      <c r="M206" s="49">
        <f>+'Cons spec tot e finalizzati'!V206-'Cons spec tot e finalizzati'!W206</f>
        <v>103</v>
      </c>
    </row>
    <row r="207" spans="1:13" s="2" customFormat="1" ht="12.75">
      <c r="A207" s="27"/>
      <c r="B207" s="21" t="s">
        <v>34</v>
      </c>
      <c r="D207" s="49">
        <f>+'Cons spec tot e finalizzati'!D207-'Cons spec tot e finalizzati'!E207</f>
        <v>2264</v>
      </c>
      <c r="E207" s="49">
        <f>+'Cons spec tot e finalizzati'!F207-'Cons spec tot e finalizzati'!G207</f>
        <v>2328</v>
      </c>
      <c r="F207" s="43">
        <f>+'Cons spec tot e finalizzati'!H207-'Cons spec tot e finalizzati'!I207</f>
        <v>2228</v>
      </c>
      <c r="G207" s="52">
        <f>+'Cons spec tot e finalizzati'!J207-'Cons spec tot e finalizzati'!K207</f>
        <v>2309</v>
      </c>
      <c r="H207" s="49">
        <f>+'Cons spec tot e finalizzati'!L207-'Cons spec tot e finalizzati'!M207</f>
        <v>2417</v>
      </c>
      <c r="I207" s="49">
        <f>+'Cons spec tot e finalizzati'!N207-'Cons spec tot e finalizzati'!O207</f>
        <v>2305</v>
      </c>
      <c r="J207" s="49">
        <f>+'Cons spec tot e finalizzati'!P207-'Cons spec tot e finalizzati'!Q207</f>
        <v>2281</v>
      </c>
      <c r="K207" s="49">
        <f>+'Cons spec tot e finalizzati'!R207-'Cons spec tot e finalizzati'!S207</f>
        <v>2093</v>
      </c>
      <c r="L207" s="49">
        <f>+'Cons spec tot e finalizzati'!T207-'Cons spec tot e finalizzati'!U207</f>
        <v>2048</v>
      </c>
      <c r="M207" s="49">
        <f>+'Cons spec tot e finalizzati'!V207-'Cons spec tot e finalizzati'!W207</f>
        <v>2116</v>
      </c>
    </row>
    <row r="208" spans="1:13" s="2" customFormat="1" ht="12.75">
      <c r="A208" s="27"/>
      <c r="B208" s="21" t="s">
        <v>35</v>
      </c>
      <c r="D208" s="49">
        <f>+'Cons spec tot e finalizzati'!D208-'Cons spec tot e finalizzati'!E208</f>
        <v>0</v>
      </c>
      <c r="E208" s="49">
        <f>+'Cons spec tot e finalizzati'!F208-'Cons spec tot e finalizzati'!G208</f>
        <v>0</v>
      </c>
      <c r="F208" s="43">
        <f>+'Cons spec tot e finalizzati'!H208-'Cons spec tot e finalizzati'!I208</f>
        <v>0</v>
      </c>
      <c r="G208" s="52">
        <f>+'Cons spec tot e finalizzati'!J208-'Cons spec tot e finalizzati'!K208</f>
        <v>46</v>
      </c>
      <c r="H208" s="49">
        <f>+'Cons spec tot e finalizzati'!L208-'Cons spec tot e finalizzati'!M208</f>
        <v>56</v>
      </c>
      <c r="I208" s="49">
        <f>+'Cons spec tot e finalizzati'!N208-'Cons spec tot e finalizzati'!O208</f>
        <v>47</v>
      </c>
      <c r="J208" s="49">
        <f>+'Cons spec tot e finalizzati'!P208-'Cons spec tot e finalizzati'!Q208</f>
        <v>50</v>
      </c>
      <c r="K208" s="49">
        <f>+'Cons spec tot e finalizzati'!R208-'Cons spec tot e finalizzati'!S208</f>
        <v>0</v>
      </c>
      <c r="L208" s="49">
        <f>+'Cons spec tot e finalizzati'!T208-'Cons spec tot e finalizzati'!U208</f>
        <v>0</v>
      </c>
      <c r="M208" s="49">
        <f>+'Cons spec tot e finalizzati'!V208-'Cons spec tot e finalizzati'!W208</f>
        <v>0</v>
      </c>
    </row>
    <row r="209" spans="1:13" s="2" customFormat="1" ht="12.75">
      <c r="A209" s="27"/>
      <c r="B209" s="21" t="s">
        <v>178</v>
      </c>
      <c r="D209" s="49">
        <f>+'Cons spec tot e finalizzati'!D209-'Cons spec tot e finalizzati'!E209</f>
        <v>0</v>
      </c>
      <c r="E209" s="49">
        <f>+'Cons spec tot e finalizzati'!F209-'Cons spec tot e finalizzati'!G209</f>
        <v>0</v>
      </c>
      <c r="F209" s="43">
        <f>+'Cons spec tot e finalizzati'!H209-'Cons spec tot e finalizzati'!I209</f>
        <v>0</v>
      </c>
      <c r="G209" s="52">
        <f>+'Cons spec tot e finalizzati'!J209-'Cons spec tot e finalizzati'!K209</f>
        <v>0</v>
      </c>
      <c r="H209" s="49">
        <f>+'Cons spec tot e finalizzati'!L209-'Cons spec tot e finalizzati'!M209</f>
        <v>0</v>
      </c>
      <c r="I209" s="49">
        <f>+'Cons spec tot e finalizzati'!N209-'Cons spec tot e finalizzati'!O209</f>
        <v>0</v>
      </c>
      <c r="J209" s="49">
        <f>+'Cons spec tot e finalizzati'!P209-'Cons spec tot e finalizzati'!Q209</f>
        <v>0</v>
      </c>
      <c r="K209" s="49">
        <f>+'Cons spec tot e finalizzati'!R209-'Cons spec tot e finalizzati'!S209</f>
        <v>0</v>
      </c>
      <c r="L209" s="49">
        <f>+'Cons spec tot e finalizzati'!T209-'Cons spec tot e finalizzati'!U209</f>
        <v>153</v>
      </c>
      <c r="M209" s="49">
        <f>+'Cons spec tot e finalizzati'!V209-'Cons spec tot e finalizzati'!W209</f>
        <v>174</v>
      </c>
    </row>
    <row r="210" spans="1:13" s="2" customFormat="1" ht="12.75">
      <c r="A210" s="27"/>
      <c r="B210" s="21" t="s">
        <v>36</v>
      </c>
      <c r="D210" s="49">
        <f>+'Cons spec tot e finalizzati'!D210-'Cons spec tot e finalizzati'!E210</f>
        <v>181</v>
      </c>
      <c r="E210" s="49">
        <f>+'Cons spec tot e finalizzati'!F210-'Cons spec tot e finalizzati'!G210</f>
        <v>135</v>
      </c>
      <c r="F210" s="43">
        <f>+'Cons spec tot e finalizzati'!H210-'Cons spec tot e finalizzati'!I210</f>
        <v>135</v>
      </c>
      <c r="G210" s="52">
        <f>+'Cons spec tot e finalizzati'!J210-'Cons spec tot e finalizzati'!K210</f>
        <v>135</v>
      </c>
      <c r="H210" s="49">
        <f>+'Cons spec tot e finalizzati'!L210-'Cons spec tot e finalizzati'!M210</f>
        <v>169</v>
      </c>
      <c r="I210" s="49">
        <f>+'Cons spec tot e finalizzati'!N210-'Cons spec tot e finalizzati'!O210</f>
        <v>214</v>
      </c>
      <c r="J210" s="49">
        <f>+'Cons spec tot e finalizzati'!P210-'Cons spec tot e finalizzati'!Q210</f>
        <v>238</v>
      </c>
      <c r="K210" s="49">
        <f>+'Cons spec tot e finalizzati'!R210-'Cons spec tot e finalizzati'!S210</f>
        <v>258</v>
      </c>
      <c r="L210" s="49">
        <f>+'Cons spec tot e finalizzati'!T210-'Cons spec tot e finalizzati'!U210</f>
        <v>248</v>
      </c>
      <c r="M210" s="49">
        <f>+'Cons spec tot e finalizzati'!V210-'Cons spec tot e finalizzati'!W210</f>
        <v>260</v>
      </c>
    </row>
    <row r="211" spans="1:13" s="2" customFormat="1" ht="12.75">
      <c r="A211" s="27"/>
      <c r="B211" s="21" t="s">
        <v>122</v>
      </c>
      <c r="D211" s="49">
        <f>+'Cons spec tot e finalizzati'!D211-'Cons spec tot e finalizzati'!E211</f>
        <v>506</v>
      </c>
      <c r="E211" s="49">
        <f>+'Cons spec tot e finalizzati'!F211-'Cons spec tot e finalizzati'!G211</f>
        <v>590</v>
      </c>
      <c r="F211" s="43">
        <f>+'Cons spec tot e finalizzati'!H211-'Cons spec tot e finalizzati'!I211</f>
        <v>669</v>
      </c>
      <c r="G211" s="52">
        <f>+'Cons spec tot e finalizzati'!J211-'Cons spec tot e finalizzati'!K211</f>
        <v>656</v>
      </c>
      <c r="H211" s="49">
        <f>+'Cons spec tot e finalizzati'!L211-'Cons spec tot e finalizzati'!M211</f>
        <v>650</v>
      </c>
      <c r="I211" s="49">
        <f>+'Cons spec tot e finalizzati'!N211-'Cons spec tot e finalizzati'!O211</f>
        <v>584</v>
      </c>
      <c r="J211" s="49">
        <f>+'Cons spec tot e finalizzati'!P211-'Cons spec tot e finalizzati'!Q211</f>
        <v>662</v>
      </c>
      <c r="K211" s="49">
        <f>+'Cons spec tot e finalizzati'!R211-'Cons spec tot e finalizzati'!S211</f>
        <v>835</v>
      </c>
      <c r="L211" s="49">
        <f>+'Cons spec tot e finalizzati'!T211-'Cons spec tot e finalizzati'!U211</f>
        <v>977</v>
      </c>
      <c r="M211" s="49">
        <f>+'Cons spec tot e finalizzati'!V211-'Cons spec tot e finalizzati'!W211</f>
        <v>1163</v>
      </c>
    </row>
    <row r="212" spans="1:13" s="30" customFormat="1" ht="12.75">
      <c r="A212" s="57"/>
      <c r="B212" s="155" t="s">
        <v>123</v>
      </c>
      <c r="C212" s="158"/>
      <c r="D212" s="69">
        <f>+'Cons spec tot e finalizzati'!D212-'Cons spec tot e finalizzati'!E212</f>
        <v>18</v>
      </c>
      <c r="E212" s="69">
        <f>+'Cons spec tot e finalizzati'!F212-'Cons spec tot e finalizzati'!G212</f>
        <v>22</v>
      </c>
      <c r="F212" s="69">
        <f>+'Cons spec tot e finalizzati'!H212-'Cons spec tot e finalizzati'!I212</f>
        <v>21</v>
      </c>
      <c r="G212" s="64">
        <f>+'Cons spec tot e finalizzati'!J212-'Cons spec tot e finalizzati'!K212</f>
        <v>72</v>
      </c>
      <c r="H212" s="69">
        <f>+'Cons spec tot e finalizzati'!L212-'Cons spec tot e finalizzati'!M212</f>
        <v>80</v>
      </c>
      <c r="I212" s="69">
        <f>+'Cons spec tot e finalizzati'!N212-'Cons spec tot e finalizzati'!O212</f>
        <v>80</v>
      </c>
      <c r="J212" s="69">
        <f>+'Cons spec tot e finalizzati'!P212-'Cons spec tot e finalizzati'!Q212</f>
        <v>77</v>
      </c>
      <c r="K212" s="69">
        <f>+'Cons spec tot e finalizzati'!R212-'Cons spec tot e finalizzati'!S212</f>
        <v>59</v>
      </c>
      <c r="L212" s="69">
        <f>+'Cons spec tot e finalizzati'!T212-'Cons spec tot e finalizzati'!U212</f>
        <v>62</v>
      </c>
      <c r="M212" s="69">
        <f>+'Cons spec tot e finalizzati'!V212-'Cons spec tot e finalizzati'!W212</f>
        <v>63</v>
      </c>
    </row>
    <row r="213" spans="1:13" s="2" customFormat="1" ht="12.75">
      <c r="A213" s="114" t="s">
        <v>42</v>
      </c>
      <c r="B213" s="115"/>
      <c r="C213" s="117"/>
      <c r="D213" s="66">
        <f>+'Cons spec tot e finalizzati'!D213-'Cons spec tot e finalizzati'!E213</f>
        <v>2991</v>
      </c>
      <c r="E213" s="66">
        <f>+'Cons spec tot e finalizzati'!F213-'Cons spec tot e finalizzati'!G213</f>
        <v>3170</v>
      </c>
      <c r="F213" s="66">
        <f>+'Cons spec tot e finalizzati'!H213-'Cons spec tot e finalizzati'!I213</f>
        <v>3484</v>
      </c>
      <c r="G213" s="66">
        <f>+'Cons spec tot e finalizzati'!J213-'Cons spec tot e finalizzati'!K213</f>
        <v>3564</v>
      </c>
      <c r="H213" s="66">
        <f>+'Cons spec tot e finalizzati'!L213-'Cons spec tot e finalizzati'!M213</f>
        <v>3958</v>
      </c>
      <c r="I213" s="66">
        <f>+'Cons spec tot e finalizzati'!N213-'Cons spec tot e finalizzati'!O213</f>
        <v>4002</v>
      </c>
      <c r="J213" s="66">
        <f>+'Cons spec tot e finalizzati'!P213-'Cons spec tot e finalizzati'!Q213</f>
        <v>4279</v>
      </c>
      <c r="K213" s="66">
        <f>+'Cons spec tot e finalizzati'!R213-'Cons spec tot e finalizzati'!S213</f>
        <v>4198</v>
      </c>
      <c r="L213" s="66">
        <f>+'Cons spec tot e finalizzati'!T213-'Cons spec tot e finalizzati'!U213</f>
        <v>4458</v>
      </c>
      <c r="M213" s="66">
        <f>+'Cons spec tot e finalizzati'!V213-'Cons spec tot e finalizzati'!W213</f>
        <v>4539</v>
      </c>
    </row>
    <row r="214" spans="1:13" s="2" customFormat="1" ht="12.75">
      <c r="A214" s="27"/>
      <c r="B214" s="21" t="s">
        <v>33</v>
      </c>
      <c r="D214" s="49">
        <f>+'Cons spec tot e finalizzati'!D214-'Cons spec tot e finalizzati'!E214</f>
        <v>284</v>
      </c>
      <c r="E214" s="49">
        <f>+'Cons spec tot e finalizzati'!F214-'Cons spec tot e finalizzati'!G214</f>
        <v>158</v>
      </c>
      <c r="F214" s="43">
        <f>+'Cons spec tot e finalizzati'!H214-'Cons spec tot e finalizzati'!I214</f>
        <v>159</v>
      </c>
      <c r="G214" s="52">
        <f>+'Cons spec tot e finalizzati'!J214-'Cons spec tot e finalizzati'!K214</f>
        <v>192</v>
      </c>
      <c r="H214" s="49">
        <f>+'Cons spec tot e finalizzati'!L214-'Cons spec tot e finalizzati'!M214</f>
        <v>198</v>
      </c>
      <c r="I214" s="49">
        <f>+'Cons spec tot e finalizzati'!N214-'Cons spec tot e finalizzati'!O214</f>
        <v>187</v>
      </c>
      <c r="J214" s="49">
        <f>+'Cons spec tot e finalizzati'!P214-'Cons spec tot e finalizzati'!Q214</f>
        <v>182</v>
      </c>
      <c r="K214" s="49">
        <f>+'Cons spec tot e finalizzati'!R214-'Cons spec tot e finalizzati'!S214</f>
        <v>153</v>
      </c>
      <c r="L214" s="49">
        <f>+'Cons spec tot e finalizzati'!T214-'Cons spec tot e finalizzati'!U214</f>
        <v>109</v>
      </c>
      <c r="M214" s="49">
        <f>+'Cons spec tot e finalizzati'!V214-'Cons spec tot e finalizzati'!W214</f>
        <v>109</v>
      </c>
    </row>
    <row r="215" spans="1:13" s="2" customFormat="1" ht="12.75">
      <c r="A215" s="27"/>
      <c r="B215" s="21" t="s">
        <v>34</v>
      </c>
      <c r="D215" s="49">
        <f>+'Cons spec tot e finalizzati'!D215-'Cons spec tot e finalizzati'!E215</f>
        <v>2095</v>
      </c>
      <c r="E215" s="49">
        <f>+'Cons spec tot e finalizzati'!F215-'Cons spec tot e finalizzati'!G215</f>
        <v>2411</v>
      </c>
      <c r="F215" s="43">
        <f>+'Cons spec tot e finalizzati'!H215-'Cons spec tot e finalizzati'!I215</f>
        <v>2573</v>
      </c>
      <c r="G215" s="52">
        <f>+'Cons spec tot e finalizzati'!J215-'Cons spec tot e finalizzati'!K215</f>
        <v>2528</v>
      </c>
      <c r="H215" s="49">
        <f>+'Cons spec tot e finalizzati'!L215-'Cons spec tot e finalizzati'!M215</f>
        <v>2798</v>
      </c>
      <c r="I215" s="49">
        <f>+'Cons spec tot e finalizzati'!N215-'Cons spec tot e finalizzati'!O215</f>
        <v>2787</v>
      </c>
      <c r="J215" s="49">
        <f>+'Cons spec tot e finalizzati'!P215-'Cons spec tot e finalizzati'!Q215</f>
        <v>3043</v>
      </c>
      <c r="K215" s="49">
        <f>+'Cons spec tot e finalizzati'!R215-'Cons spec tot e finalizzati'!S215</f>
        <v>2951</v>
      </c>
      <c r="L215" s="49">
        <f>+'Cons spec tot e finalizzati'!T215-'Cons spec tot e finalizzati'!U215</f>
        <v>2913</v>
      </c>
      <c r="M215" s="49">
        <f>+'Cons spec tot e finalizzati'!V215-'Cons spec tot e finalizzati'!W215</f>
        <v>2831</v>
      </c>
    </row>
    <row r="216" spans="1:13" s="2" customFormat="1" ht="12.75">
      <c r="A216" s="27"/>
      <c r="B216" s="21" t="s">
        <v>35</v>
      </c>
      <c r="D216" s="49">
        <f>+'Cons spec tot e finalizzati'!D216-'Cons spec tot e finalizzati'!E216</f>
        <v>0</v>
      </c>
      <c r="E216" s="49">
        <f>+'Cons spec tot e finalizzati'!F216-'Cons spec tot e finalizzati'!G216</f>
        <v>0</v>
      </c>
      <c r="F216" s="43">
        <f>+'Cons spec tot e finalizzati'!H216-'Cons spec tot e finalizzati'!I216</f>
        <v>0</v>
      </c>
      <c r="G216" s="52">
        <f>+'Cons spec tot e finalizzati'!J216-'Cons spec tot e finalizzati'!K216</f>
        <v>59</v>
      </c>
      <c r="H216" s="49">
        <f>+'Cons spec tot e finalizzati'!L216-'Cons spec tot e finalizzati'!M216</f>
        <v>46</v>
      </c>
      <c r="I216" s="49">
        <f>+'Cons spec tot e finalizzati'!N216-'Cons spec tot e finalizzati'!O216</f>
        <v>78</v>
      </c>
      <c r="J216" s="49">
        <f>+'Cons spec tot e finalizzati'!P216-'Cons spec tot e finalizzati'!Q216</f>
        <v>63</v>
      </c>
      <c r="K216" s="49">
        <f>+'Cons spec tot e finalizzati'!R216-'Cons spec tot e finalizzati'!S216</f>
        <v>0</v>
      </c>
      <c r="L216" s="49">
        <f>+'Cons spec tot e finalizzati'!T216-'Cons spec tot e finalizzati'!U216</f>
        <v>0</v>
      </c>
      <c r="M216" s="49">
        <f>+'Cons spec tot e finalizzati'!V216-'Cons spec tot e finalizzati'!W216</f>
        <v>0</v>
      </c>
    </row>
    <row r="217" spans="1:13" s="2" customFormat="1" ht="12.75">
      <c r="A217" s="27"/>
      <c r="B217" s="21" t="s">
        <v>178</v>
      </c>
      <c r="D217" s="49">
        <f>+'Cons spec tot e finalizzati'!D217-'Cons spec tot e finalizzati'!E217</f>
        <v>0</v>
      </c>
      <c r="E217" s="49">
        <f>+'Cons spec tot e finalizzati'!F217-'Cons spec tot e finalizzati'!G217</f>
        <v>0</v>
      </c>
      <c r="F217" s="43">
        <f>+'Cons spec tot e finalizzati'!H217-'Cons spec tot e finalizzati'!I217</f>
        <v>0</v>
      </c>
      <c r="G217" s="52">
        <f>+'Cons spec tot e finalizzati'!J217-'Cons spec tot e finalizzati'!K217</f>
        <v>0</v>
      </c>
      <c r="H217" s="49">
        <f>+'Cons spec tot e finalizzati'!L217-'Cons spec tot e finalizzati'!M217</f>
        <v>0</v>
      </c>
      <c r="I217" s="49">
        <f>+'Cons spec tot e finalizzati'!N217-'Cons spec tot e finalizzati'!O217</f>
        <v>0</v>
      </c>
      <c r="J217" s="49">
        <f>+'Cons spec tot e finalizzati'!P217-'Cons spec tot e finalizzati'!Q217</f>
        <v>0</v>
      </c>
      <c r="K217" s="49">
        <f>+'Cons spec tot e finalizzati'!R217-'Cons spec tot e finalizzati'!S217</f>
        <v>0</v>
      </c>
      <c r="L217" s="49">
        <f>+'Cons spec tot e finalizzati'!T217-'Cons spec tot e finalizzati'!U217</f>
        <v>211</v>
      </c>
      <c r="M217" s="49">
        <f>+'Cons spec tot e finalizzati'!V217-'Cons spec tot e finalizzati'!W217</f>
        <v>293</v>
      </c>
    </row>
    <row r="218" spans="1:13" s="2" customFormat="1" ht="12.75">
      <c r="A218" s="27"/>
      <c r="B218" s="21" t="s">
        <v>36</v>
      </c>
      <c r="D218" s="49">
        <f>+'Cons spec tot e finalizzati'!D218-'Cons spec tot e finalizzati'!E218</f>
        <v>70</v>
      </c>
      <c r="E218" s="49">
        <f>+'Cons spec tot e finalizzati'!F218-'Cons spec tot e finalizzati'!G218</f>
        <v>58</v>
      </c>
      <c r="F218" s="43">
        <f>+'Cons spec tot e finalizzati'!H218-'Cons spec tot e finalizzati'!I218</f>
        <v>51</v>
      </c>
      <c r="G218" s="52">
        <f>+'Cons spec tot e finalizzati'!J218-'Cons spec tot e finalizzati'!K218</f>
        <v>108</v>
      </c>
      <c r="H218" s="49">
        <f>+'Cons spec tot e finalizzati'!L218-'Cons spec tot e finalizzati'!M218</f>
        <v>83</v>
      </c>
      <c r="I218" s="49">
        <f>+'Cons spec tot e finalizzati'!N218-'Cons spec tot e finalizzati'!O218</f>
        <v>123</v>
      </c>
      <c r="J218" s="49">
        <f>+'Cons spec tot e finalizzati'!P218-'Cons spec tot e finalizzati'!Q218</f>
        <v>127</v>
      </c>
      <c r="K218" s="49">
        <f>+'Cons spec tot e finalizzati'!R218-'Cons spec tot e finalizzati'!S218</f>
        <v>104</v>
      </c>
      <c r="L218" s="49">
        <f>+'Cons spec tot e finalizzati'!T218-'Cons spec tot e finalizzati'!U218</f>
        <v>104</v>
      </c>
      <c r="M218" s="49">
        <f>+'Cons spec tot e finalizzati'!V218-'Cons spec tot e finalizzati'!W218</f>
        <v>104</v>
      </c>
    </row>
    <row r="219" spans="1:13" s="2" customFormat="1" ht="12.75">
      <c r="A219" s="27"/>
      <c r="B219" s="21" t="s">
        <v>122</v>
      </c>
      <c r="D219" s="49">
        <f>+'Cons spec tot e finalizzati'!D219-'Cons spec tot e finalizzati'!E219</f>
        <v>441</v>
      </c>
      <c r="E219" s="49">
        <f>+'Cons spec tot e finalizzati'!F219-'Cons spec tot e finalizzati'!G219</f>
        <v>445</v>
      </c>
      <c r="F219" s="43">
        <f>+'Cons spec tot e finalizzati'!H219-'Cons spec tot e finalizzati'!I219</f>
        <v>590</v>
      </c>
      <c r="G219" s="52">
        <f>+'Cons spec tot e finalizzati'!J219-'Cons spec tot e finalizzati'!K219</f>
        <v>583</v>
      </c>
      <c r="H219" s="49">
        <f>+'Cons spec tot e finalizzati'!L219-'Cons spec tot e finalizzati'!M219</f>
        <v>718</v>
      </c>
      <c r="I219" s="49">
        <f>+'Cons spec tot e finalizzati'!N219-'Cons spec tot e finalizzati'!O219</f>
        <v>730</v>
      </c>
      <c r="J219" s="49">
        <f>+'Cons spec tot e finalizzati'!P219-'Cons spec tot e finalizzati'!Q219</f>
        <v>757</v>
      </c>
      <c r="K219" s="49">
        <f>+'Cons spec tot e finalizzati'!R219-'Cons spec tot e finalizzati'!S219</f>
        <v>872</v>
      </c>
      <c r="L219" s="49">
        <f>+'Cons spec tot e finalizzati'!T219-'Cons spec tot e finalizzati'!U219</f>
        <v>1007</v>
      </c>
      <c r="M219" s="49">
        <f>+'Cons spec tot e finalizzati'!V219-'Cons spec tot e finalizzati'!W219</f>
        <v>1067</v>
      </c>
    </row>
    <row r="220" spans="1:13" s="30" customFormat="1" ht="12.75">
      <c r="A220" s="57"/>
      <c r="B220" s="155" t="s">
        <v>123</v>
      </c>
      <c r="C220" s="158"/>
      <c r="D220" s="69">
        <f>+'Cons spec tot e finalizzati'!D220-'Cons spec tot e finalizzati'!E220</f>
        <v>101</v>
      </c>
      <c r="E220" s="69">
        <f>+'Cons spec tot e finalizzati'!F220-'Cons spec tot e finalizzati'!G220</f>
        <v>98</v>
      </c>
      <c r="F220" s="69">
        <f>+'Cons spec tot e finalizzati'!H220-'Cons spec tot e finalizzati'!I220</f>
        <v>111</v>
      </c>
      <c r="G220" s="64">
        <f>+'Cons spec tot e finalizzati'!J220-'Cons spec tot e finalizzati'!K220</f>
        <v>94</v>
      </c>
      <c r="H220" s="69">
        <f>+'Cons spec tot e finalizzati'!L220-'Cons spec tot e finalizzati'!M220</f>
        <v>115</v>
      </c>
      <c r="I220" s="69">
        <f>+'Cons spec tot e finalizzati'!N220-'Cons spec tot e finalizzati'!O220</f>
        <v>97</v>
      </c>
      <c r="J220" s="69">
        <f>+'Cons spec tot e finalizzati'!P220-'Cons spec tot e finalizzati'!Q220</f>
        <v>107</v>
      </c>
      <c r="K220" s="69">
        <f>+'Cons spec tot e finalizzati'!R220-'Cons spec tot e finalizzati'!S220</f>
        <v>118</v>
      </c>
      <c r="L220" s="69">
        <f>+'Cons spec tot e finalizzati'!T220-'Cons spec tot e finalizzati'!U220</f>
        <v>114</v>
      </c>
      <c r="M220" s="69">
        <f>+'Cons spec tot e finalizzati'!V220-'Cons spec tot e finalizzati'!W220</f>
        <v>135</v>
      </c>
    </row>
    <row r="221" spans="1:13" s="2" customFormat="1" ht="12.75">
      <c r="A221" s="114" t="s">
        <v>43</v>
      </c>
      <c r="B221" s="115"/>
      <c r="C221" s="117"/>
      <c r="D221" s="66">
        <f>+'Cons spec tot e finalizzati'!D221-'Cons spec tot e finalizzati'!E221</f>
        <v>3122</v>
      </c>
      <c r="E221" s="66">
        <f>+'Cons spec tot e finalizzati'!F221-'Cons spec tot e finalizzati'!G221</f>
        <v>3371.5</v>
      </c>
      <c r="F221" s="66">
        <f>+'Cons spec tot e finalizzati'!H221-'Cons spec tot e finalizzati'!I221</f>
        <v>3499</v>
      </c>
      <c r="G221" s="66">
        <f>+'Cons spec tot e finalizzati'!J221-'Cons spec tot e finalizzati'!K221</f>
        <v>3534</v>
      </c>
      <c r="H221" s="66">
        <f>+'Cons spec tot e finalizzati'!L221-'Cons spec tot e finalizzati'!M221</f>
        <v>3814</v>
      </c>
      <c r="I221" s="66">
        <f>+'Cons spec tot e finalizzati'!N221-'Cons spec tot e finalizzati'!O221</f>
        <v>3838</v>
      </c>
      <c r="J221" s="66">
        <f>+'Cons spec tot e finalizzati'!P221-'Cons spec tot e finalizzati'!Q221</f>
        <v>3823</v>
      </c>
      <c r="K221" s="66">
        <f>+'Cons spec tot e finalizzati'!R221-'Cons spec tot e finalizzati'!S221</f>
        <v>3908</v>
      </c>
      <c r="L221" s="66">
        <f>+'Cons spec tot e finalizzati'!T221-'Cons spec tot e finalizzati'!U221</f>
        <v>3877</v>
      </c>
      <c r="M221" s="66">
        <f>+'Cons spec tot e finalizzati'!V221-'Cons spec tot e finalizzati'!W221</f>
        <v>3904</v>
      </c>
    </row>
    <row r="222" spans="1:13" s="2" customFormat="1" ht="12.75">
      <c r="A222" s="27"/>
      <c r="B222" s="21" t="s">
        <v>33</v>
      </c>
      <c r="D222" s="49">
        <f>+'Cons spec tot e finalizzati'!D222-'Cons spec tot e finalizzati'!E222</f>
        <v>179</v>
      </c>
      <c r="E222" s="49">
        <f>+'Cons spec tot e finalizzati'!F222-'Cons spec tot e finalizzati'!G222</f>
        <v>205</v>
      </c>
      <c r="F222" s="43">
        <f>+'Cons spec tot e finalizzati'!H222-'Cons spec tot e finalizzati'!I222</f>
        <v>231</v>
      </c>
      <c r="G222" s="52">
        <f>+'Cons spec tot e finalizzati'!J222-'Cons spec tot e finalizzati'!K222</f>
        <v>197</v>
      </c>
      <c r="H222" s="49">
        <f>+'Cons spec tot e finalizzati'!L222-'Cons spec tot e finalizzati'!M222</f>
        <v>211</v>
      </c>
      <c r="I222" s="49">
        <f>+'Cons spec tot e finalizzati'!N222-'Cons spec tot e finalizzati'!O222</f>
        <v>172</v>
      </c>
      <c r="J222" s="49">
        <f>+'Cons spec tot e finalizzati'!P222-'Cons spec tot e finalizzati'!Q222</f>
        <v>189</v>
      </c>
      <c r="K222" s="49">
        <f>+'Cons spec tot e finalizzati'!R222-'Cons spec tot e finalizzati'!S222</f>
        <v>235</v>
      </c>
      <c r="L222" s="49">
        <f>+'Cons spec tot e finalizzati'!T222-'Cons spec tot e finalizzati'!U222</f>
        <v>230</v>
      </c>
      <c r="M222" s="49">
        <f>+'Cons spec tot e finalizzati'!V222-'Cons spec tot e finalizzati'!W222</f>
        <v>194</v>
      </c>
    </row>
    <row r="223" spans="1:13" s="2" customFormat="1" ht="12.75">
      <c r="A223" s="27"/>
      <c r="B223" s="21" t="s">
        <v>34</v>
      </c>
      <c r="D223" s="49">
        <f>+'Cons spec tot e finalizzati'!D223-'Cons spec tot e finalizzati'!E223</f>
        <v>2254</v>
      </c>
      <c r="E223" s="49">
        <f>+'Cons spec tot e finalizzati'!F223-'Cons spec tot e finalizzati'!G223</f>
        <v>2392.5</v>
      </c>
      <c r="F223" s="43">
        <f>+'Cons spec tot e finalizzati'!H223-'Cons spec tot e finalizzati'!I223</f>
        <v>2315</v>
      </c>
      <c r="G223" s="52">
        <f>+'Cons spec tot e finalizzati'!J223-'Cons spec tot e finalizzati'!K223</f>
        <v>2265</v>
      </c>
      <c r="H223" s="49">
        <f>+'Cons spec tot e finalizzati'!L223-'Cons spec tot e finalizzati'!M223</f>
        <v>2499</v>
      </c>
      <c r="I223" s="49">
        <f>+'Cons spec tot e finalizzati'!N223-'Cons spec tot e finalizzati'!O223</f>
        <v>2503</v>
      </c>
      <c r="J223" s="49">
        <f>+'Cons spec tot e finalizzati'!P223-'Cons spec tot e finalizzati'!Q223</f>
        <v>2492</v>
      </c>
      <c r="K223" s="49">
        <f>+'Cons spec tot e finalizzati'!R223-'Cons spec tot e finalizzati'!S223</f>
        <v>2550</v>
      </c>
      <c r="L223" s="49">
        <f>+'Cons spec tot e finalizzati'!T223-'Cons spec tot e finalizzati'!U223</f>
        <v>2491</v>
      </c>
      <c r="M223" s="49">
        <f>+'Cons spec tot e finalizzati'!V223-'Cons spec tot e finalizzati'!W223</f>
        <v>2431</v>
      </c>
    </row>
    <row r="224" spans="1:13" s="2" customFormat="1" ht="12.75">
      <c r="A224" s="27"/>
      <c r="B224" s="21" t="s">
        <v>35</v>
      </c>
      <c r="D224" s="49">
        <f>+'Cons spec tot e finalizzati'!D224-'Cons spec tot e finalizzati'!E224</f>
        <v>0</v>
      </c>
      <c r="E224" s="49">
        <f>+'Cons spec tot e finalizzati'!F224-'Cons spec tot e finalizzati'!G224</f>
        <v>0</v>
      </c>
      <c r="F224" s="43">
        <f>+'Cons spec tot e finalizzati'!H224-'Cons spec tot e finalizzati'!I224</f>
        <v>0</v>
      </c>
      <c r="G224" s="52">
        <f>+'Cons spec tot e finalizzati'!J224-'Cons spec tot e finalizzati'!K224</f>
        <v>32</v>
      </c>
      <c r="H224" s="49">
        <f>+'Cons spec tot e finalizzati'!L224-'Cons spec tot e finalizzati'!M224</f>
        <v>40</v>
      </c>
      <c r="I224" s="49">
        <f>+'Cons spec tot e finalizzati'!N224-'Cons spec tot e finalizzati'!O224</f>
        <v>43</v>
      </c>
      <c r="J224" s="49">
        <f>+'Cons spec tot e finalizzati'!P224-'Cons spec tot e finalizzati'!Q224</f>
        <v>48</v>
      </c>
      <c r="K224" s="49">
        <f>+'Cons spec tot e finalizzati'!R224-'Cons spec tot e finalizzati'!S224</f>
        <v>0</v>
      </c>
      <c r="L224" s="49">
        <f>+'Cons spec tot e finalizzati'!T224-'Cons spec tot e finalizzati'!U224</f>
        <v>0</v>
      </c>
      <c r="M224" s="49">
        <f>+'Cons spec tot e finalizzati'!V224-'Cons spec tot e finalizzati'!W224</f>
        <v>0</v>
      </c>
    </row>
    <row r="225" spans="1:13" s="2" customFormat="1" ht="12.75">
      <c r="A225" s="27"/>
      <c r="B225" s="21" t="s">
        <v>178</v>
      </c>
      <c r="D225" s="49">
        <f>+'Cons spec tot e finalizzati'!D225-'Cons spec tot e finalizzati'!E225</f>
        <v>0</v>
      </c>
      <c r="E225" s="49">
        <f>+'Cons spec tot e finalizzati'!F225-'Cons spec tot e finalizzati'!G225</f>
        <v>0</v>
      </c>
      <c r="F225" s="43">
        <f>+'Cons spec tot e finalizzati'!H225-'Cons spec tot e finalizzati'!I225</f>
        <v>0</v>
      </c>
      <c r="G225" s="52">
        <f>+'Cons spec tot e finalizzati'!J225-'Cons spec tot e finalizzati'!K225</f>
        <v>0</v>
      </c>
      <c r="H225" s="49">
        <f>+'Cons spec tot e finalizzati'!L225-'Cons spec tot e finalizzati'!M225</f>
        <v>0</v>
      </c>
      <c r="I225" s="49">
        <f>+'Cons spec tot e finalizzati'!N225-'Cons spec tot e finalizzati'!O225</f>
        <v>0</v>
      </c>
      <c r="J225" s="49">
        <f>+'Cons spec tot e finalizzati'!P225-'Cons spec tot e finalizzati'!Q225</f>
        <v>0</v>
      </c>
      <c r="K225" s="49">
        <f>+'Cons spec tot e finalizzati'!R225-'Cons spec tot e finalizzati'!S225</f>
        <v>0</v>
      </c>
      <c r="L225" s="49">
        <f>+'Cons spec tot e finalizzati'!T225-'Cons spec tot e finalizzati'!U225</f>
        <v>31</v>
      </c>
      <c r="M225" s="49">
        <f>+'Cons spec tot e finalizzati'!V225-'Cons spec tot e finalizzati'!W225</f>
        <v>29</v>
      </c>
    </row>
    <row r="226" spans="1:13" s="2" customFormat="1" ht="12.75">
      <c r="A226" s="27"/>
      <c r="B226" s="21" t="s">
        <v>36</v>
      </c>
      <c r="D226" s="49">
        <f>+'Cons spec tot e finalizzati'!D226-'Cons spec tot e finalizzati'!E226</f>
        <v>0</v>
      </c>
      <c r="E226" s="49">
        <f>+'Cons spec tot e finalizzati'!F226-'Cons spec tot e finalizzati'!G226</f>
        <v>0</v>
      </c>
      <c r="F226" s="43">
        <f>+'Cons spec tot e finalizzati'!H226-'Cons spec tot e finalizzati'!I226</f>
        <v>29</v>
      </c>
      <c r="G226" s="52">
        <f>+'Cons spec tot e finalizzati'!J226-'Cons spec tot e finalizzati'!K226</f>
        <v>29</v>
      </c>
      <c r="H226" s="49">
        <f>+'Cons spec tot e finalizzati'!L226-'Cons spec tot e finalizzati'!M226</f>
        <v>35</v>
      </c>
      <c r="I226" s="49">
        <f>+'Cons spec tot e finalizzati'!N226-'Cons spec tot e finalizzati'!O226</f>
        <v>44</v>
      </c>
      <c r="J226" s="49">
        <f>+'Cons spec tot e finalizzati'!P226-'Cons spec tot e finalizzati'!Q226</f>
        <v>60</v>
      </c>
      <c r="K226" s="49">
        <f>+'Cons spec tot e finalizzati'!R226-'Cons spec tot e finalizzati'!S226</f>
        <v>65</v>
      </c>
      <c r="L226" s="49">
        <f>+'Cons spec tot e finalizzati'!T226-'Cons spec tot e finalizzati'!U226</f>
        <v>65</v>
      </c>
      <c r="M226" s="49">
        <f>+'Cons spec tot e finalizzati'!V226-'Cons spec tot e finalizzati'!W226</f>
        <v>77</v>
      </c>
    </row>
    <row r="227" spans="1:13" s="2" customFormat="1" ht="12.75">
      <c r="A227" s="27"/>
      <c r="B227" s="21" t="s">
        <v>122</v>
      </c>
      <c r="D227" s="49">
        <f>+'Cons spec tot e finalizzati'!D227-'Cons spec tot e finalizzati'!E227</f>
        <v>656</v>
      </c>
      <c r="E227" s="49">
        <f>+'Cons spec tot e finalizzati'!F227-'Cons spec tot e finalizzati'!G227</f>
        <v>672</v>
      </c>
      <c r="F227" s="43">
        <f>+'Cons spec tot e finalizzati'!H227-'Cons spec tot e finalizzati'!I227</f>
        <v>820</v>
      </c>
      <c r="G227" s="52">
        <f>+'Cons spec tot e finalizzati'!J227-'Cons spec tot e finalizzati'!K227</f>
        <v>849</v>
      </c>
      <c r="H227" s="49">
        <f>+'Cons spec tot e finalizzati'!L227-'Cons spec tot e finalizzati'!M227</f>
        <v>898</v>
      </c>
      <c r="I227" s="49">
        <f>+'Cons spec tot e finalizzati'!N227-'Cons spec tot e finalizzati'!O227</f>
        <v>984</v>
      </c>
      <c r="J227" s="49">
        <f>+'Cons spec tot e finalizzati'!P227-'Cons spec tot e finalizzati'!Q227</f>
        <v>938</v>
      </c>
      <c r="K227" s="49">
        <f>+'Cons spec tot e finalizzati'!R227-'Cons spec tot e finalizzati'!S227</f>
        <v>921</v>
      </c>
      <c r="L227" s="49">
        <f>+'Cons spec tot e finalizzati'!T227-'Cons spec tot e finalizzati'!U227</f>
        <v>938</v>
      </c>
      <c r="M227" s="49">
        <f>+'Cons spec tot e finalizzati'!V227-'Cons spec tot e finalizzati'!W227</f>
        <v>1034</v>
      </c>
    </row>
    <row r="228" spans="1:13" s="30" customFormat="1" ht="12.75">
      <c r="A228" s="57"/>
      <c r="B228" s="155" t="s">
        <v>123</v>
      </c>
      <c r="C228" s="158"/>
      <c r="D228" s="69">
        <f>+'Cons spec tot e finalizzati'!D228-'Cons spec tot e finalizzati'!E228</f>
        <v>33</v>
      </c>
      <c r="E228" s="69">
        <f>+'Cons spec tot e finalizzati'!F228-'Cons spec tot e finalizzati'!G228</f>
        <v>102</v>
      </c>
      <c r="F228" s="69">
        <f>+'Cons spec tot e finalizzati'!H228-'Cons spec tot e finalizzati'!I228</f>
        <v>105</v>
      </c>
      <c r="G228" s="64">
        <f>+'Cons spec tot e finalizzati'!J228-'Cons spec tot e finalizzati'!K228</f>
        <v>162</v>
      </c>
      <c r="H228" s="69">
        <f>+'Cons spec tot e finalizzati'!L228-'Cons spec tot e finalizzati'!M228</f>
        <v>131</v>
      </c>
      <c r="I228" s="69">
        <f>+'Cons spec tot e finalizzati'!N228-'Cons spec tot e finalizzati'!O228</f>
        <v>92</v>
      </c>
      <c r="J228" s="69">
        <f>+'Cons spec tot e finalizzati'!P228-'Cons spec tot e finalizzati'!Q228</f>
        <v>96</v>
      </c>
      <c r="K228" s="69">
        <f>+'Cons spec tot e finalizzati'!R228-'Cons spec tot e finalizzati'!S228</f>
        <v>137</v>
      </c>
      <c r="L228" s="69">
        <f>+'Cons spec tot e finalizzati'!T228-'Cons spec tot e finalizzati'!U228</f>
        <v>122</v>
      </c>
      <c r="M228" s="69">
        <f>+'Cons spec tot e finalizzati'!V228-'Cons spec tot e finalizzati'!W228</f>
        <v>139</v>
      </c>
    </row>
    <row r="229" spans="1:13" s="2" customFormat="1" ht="12.75">
      <c r="A229" s="114" t="s">
        <v>44</v>
      </c>
      <c r="B229" s="115"/>
      <c r="C229" s="117"/>
      <c r="D229" s="66">
        <f>+'Cons spec tot e finalizzati'!D229-'Cons spec tot e finalizzati'!E229</f>
        <v>3641</v>
      </c>
      <c r="E229" s="66">
        <f>+'Cons spec tot e finalizzati'!F229-'Cons spec tot e finalizzati'!G229</f>
        <v>3953</v>
      </c>
      <c r="F229" s="66">
        <f>+'Cons spec tot e finalizzati'!H229-'Cons spec tot e finalizzati'!I229</f>
        <v>4146.506293027315</v>
      </c>
      <c r="G229" s="66">
        <f>+'Cons spec tot e finalizzati'!J229-'Cons spec tot e finalizzati'!K229</f>
        <v>4554</v>
      </c>
      <c r="H229" s="66">
        <f>+'Cons spec tot e finalizzati'!L229-'Cons spec tot e finalizzati'!M229</f>
        <v>4505</v>
      </c>
      <c r="I229" s="66">
        <f>+'Cons spec tot e finalizzati'!N229-'Cons spec tot e finalizzati'!O229</f>
        <v>4614</v>
      </c>
      <c r="J229" s="66">
        <f>+'Cons spec tot e finalizzati'!P229-'Cons spec tot e finalizzati'!Q229</f>
        <v>4813</v>
      </c>
      <c r="K229" s="66">
        <f>+'Cons spec tot e finalizzati'!R229-'Cons spec tot e finalizzati'!S229</f>
        <v>5242</v>
      </c>
      <c r="L229" s="66">
        <f>+'Cons spec tot e finalizzati'!T229-'Cons spec tot e finalizzati'!U229</f>
        <v>5699</v>
      </c>
      <c r="M229" s="66">
        <f>+'Cons spec tot e finalizzati'!V229-'Cons spec tot e finalizzati'!W229</f>
        <v>6170</v>
      </c>
    </row>
    <row r="230" spans="1:13" s="2" customFormat="1" ht="12.75">
      <c r="A230" s="27"/>
      <c r="B230" s="21" t="s">
        <v>33</v>
      </c>
      <c r="D230" s="49">
        <f>+'Cons spec tot e finalizzati'!D230-'Cons spec tot e finalizzati'!E230</f>
        <v>370</v>
      </c>
      <c r="E230" s="49">
        <f>+'Cons spec tot e finalizzati'!F230-'Cons spec tot e finalizzati'!G230</f>
        <v>349</v>
      </c>
      <c r="F230" s="43">
        <f>+'Cons spec tot e finalizzati'!H230-'Cons spec tot e finalizzati'!I230</f>
        <v>309</v>
      </c>
      <c r="G230" s="52">
        <f>+'Cons spec tot e finalizzati'!J230-'Cons spec tot e finalizzati'!K230</f>
        <v>289</v>
      </c>
      <c r="H230" s="49">
        <f>+'Cons spec tot e finalizzati'!L230-'Cons spec tot e finalizzati'!M230</f>
        <v>199</v>
      </c>
      <c r="I230" s="49">
        <f>+'Cons spec tot e finalizzati'!N230-'Cons spec tot e finalizzati'!O230</f>
        <v>263</v>
      </c>
      <c r="J230" s="49">
        <f>+'Cons spec tot e finalizzati'!P230-'Cons spec tot e finalizzati'!Q230</f>
        <v>275</v>
      </c>
      <c r="K230" s="49">
        <f>+'Cons spec tot e finalizzati'!R230-'Cons spec tot e finalizzati'!S230</f>
        <v>335</v>
      </c>
      <c r="L230" s="49">
        <f>+'Cons spec tot e finalizzati'!T230-'Cons spec tot e finalizzati'!U230</f>
        <v>222</v>
      </c>
      <c r="M230" s="49">
        <f>+'Cons spec tot e finalizzati'!V230-'Cons spec tot e finalizzati'!W230</f>
        <v>170</v>
      </c>
    </row>
    <row r="231" spans="1:13" s="2" customFormat="1" ht="12.75">
      <c r="A231" s="27"/>
      <c r="B231" s="21" t="s">
        <v>34</v>
      </c>
      <c r="D231" s="49">
        <f>+'Cons spec tot e finalizzati'!D231-'Cons spec tot e finalizzati'!E231</f>
        <v>2441</v>
      </c>
      <c r="E231" s="49">
        <f>+'Cons spec tot e finalizzati'!F231-'Cons spec tot e finalizzati'!G231</f>
        <v>2684</v>
      </c>
      <c r="F231" s="43">
        <f>+'Cons spec tot e finalizzati'!H231-'Cons spec tot e finalizzati'!I231</f>
        <v>2788.506293027315</v>
      </c>
      <c r="G231" s="52">
        <f>+'Cons spec tot e finalizzati'!J231-'Cons spec tot e finalizzati'!K231</f>
        <v>2883</v>
      </c>
      <c r="H231" s="49">
        <f>+'Cons spec tot e finalizzati'!L231-'Cons spec tot e finalizzati'!M231</f>
        <v>2919</v>
      </c>
      <c r="I231" s="49">
        <f>+'Cons spec tot e finalizzati'!N231-'Cons spec tot e finalizzati'!O231</f>
        <v>2929</v>
      </c>
      <c r="J231" s="49">
        <f>+'Cons spec tot e finalizzati'!P231-'Cons spec tot e finalizzati'!Q231</f>
        <v>2719</v>
      </c>
      <c r="K231" s="49">
        <f>+'Cons spec tot e finalizzati'!R231-'Cons spec tot e finalizzati'!S231</f>
        <v>2686</v>
      </c>
      <c r="L231" s="49">
        <f>+'Cons spec tot e finalizzati'!T231-'Cons spec tot e finalizzati'!U231</f>
        <v>2881</v>
      </c>
      <c r="M231" s="49">
        <f>+'Cons spec tot e finalizzati'!V231-'Cons spec tot e finalizzati'!W231</f>
        <v>3028</v>
      </c>
    </row>
    <row r="232" spans="1:13" s="2" customFormat="1" ht="12.75">
      <c r="A232" s="27"/>
      <c r="B232" s="21" t="s">
        <v>35</v>
      </c>
      <c r="D232" s="49">
        <f>+'Cons spec tot e finalizzati'!D232-'Cons spec tot e finalizzati'!E232</f>
        <v>0</v>
      </c>
      <c r="E232" s="49">
        <f>+'Cons spec tot e finalizzati'!F232-'Cons spec tot e finalizzati'!G232</f>
        <v>0</v>
      </c>
      <c r="F232" s="43">
        <f>+'Cons spec tot e finalizzati'!H232-'Cons spec tot e finalizzati'!I232</f>
        <v>0</v>
      </c>
      <c r="G232" s="52">
        <f>+'Cons spec tot e finalizzati'!J232-'Cons spec tot e finalizzati'!K232</f>
        <v>58</v>
      </c>
      <c r="H232" s="49">
        <f>+'Cons spec tot e finalizzati'!L232-'Cons spec tot e finalizzati'!M232</f>
        <v>79</v>
      </c>
      <c r="I232" s="49">
        <f>+'Cons spec tot e finalizzati'!N232-'Cons spec tot e finalizzati'!O232</f>
        <v>50</v>
      </c>
      <c r="J232" s="49">
        <f>+'Cons spec tot e finalizzati'!P232-'Cons spec tot e finalizzati'!Q232</f>
        <v>91</v>
      </c>
      <c r="K232" s="49">
        <f>+'Cons spec tot e finalizzati'!R232-'Cons spec tot e finalizzati'!S232</f>
        <v>0</v>
      </c>
      <c r="L232" s="49">
        <f>+'Cons spec tot e finalizzati'!T232-'Cons spec tot e finalizzati'!U232</f>
        <v>0</v>
      </c>
      <c r="M232" s="49">
        <f>+'Cons spec tot e finalizzati'!V232-'Cons spec tot e finalizzati'!W232</f>
        <v>0</v>
      </c>
    </row>
    <row r="233" spans="1:13" s="2" customFormat="1" ht="12.75">
      <c r="A233" s="27"/>
      <c r="B233" s="21" t="s">
        <v>178</v>
      </c>
      <c r="D233" s="49">
        <f>+'Cons spec tot e finalizzati'!D233-'Cons spec tot e finalizzati'!E233</f>
        <v>0</v>
      </c>
      <c r="E233" s="49">
        <f>+'Cons spec tot e finalizzati'!F233-'Cons spec tot e finalizzati'!G233</f>
        <v>0</v>
      </c>
      <c r="F233" s="43">
        <f>+'Cons spec tot e finalizzati'!H233-'Cons spec tot e finalizzati'!I233</f>
        <v>0</v>
      </c>
      <c r="G233" s="52">
        <f>+'Cons spec tot e finalizzati'!J233-'Cons spec tot e finalizzati'!K233</f>
        <v>0</v>
      </c>
      <c r="H233" s="49">
        <f>+'Cons spec tot e finalizzati'!L233-'Cons spec tot e finalizzati'!M233</f>
        <v>0</v>
      </c>
      <c r="I233" s="49">
        <f>+'Cons spec tot e finalizzati'!N233-'Cons spec tot e finalizzati'!O233</f>
        <v>0</v>
      </c>
      <c r="J233" s="49">
        <f>+'Cons spec tot e finalizzati'!P233-'Cons spec tot e finalizzati'!Q233</f>
        <v>159</v>
      </c>
      <c r="K233" s="49">
        <f>+'Cons spec tot e finalizzati'!R233-'Cons spec tot e finalizzati'!S233</f>
        <v>631</v>
      </c>
      <c r="L233" s="49">
        <f>+'Cons spec tot e finalizzati'!T233-'Cons spec tot e finalizzati'!U233</f>
        <v>918</v>
      </c>
      <c r="M233" s="49">
        <f>+'Cons spec tot e finalizzati'!V233-'Cons spec tot e finalizzati'!W233</f>
        <v>1269</v>
      </c>
    </row>
    <row r="234" spans="1:13" s="2" customFormat="1" ht="12.75">
      <c r="A234" s="27"/>
      <c r="B234" s="21" t="s">
        <v>36</v>
      </c>
      <c r="D234" s="49">
        <f>+'Cons spec tot e finalizzati'!D234-'Cons spec tot e finalizzati'!E234</f>
        <v>69</v>
      </c>
      <c r="E234" s="49">
        <f>+'Cons spec tot e finalizzati'!F234-'Cons spec tot e finalizzati'!G234</f>
        <v>57</v>
      </c>
      <c r="F234" s="43">
        <f>+'Cons spec tot e finalizzati'!H234-'Cons spec tot e finalizzati'!I234</f>
        <v>72</v>
      </c>
      <c r="G234" s="52">
        <f>+'Cons spec tot e finalizzati'!J234-'Cons spec tot e finalizzati'!K234</f>
        <v>72</v>
      </c>
      <c r="H234" s="49">
        <f>+'Cons spec tot e finalizzati'!L234-'Cons spec tot e finalizzati'!M234</f>
        <v>85</v>
      </c>
      <c r="I234" s="49">
        <f>+'Cons spec tot e finalizzati'!N234-'Cons spec tot e finalizzati'!O234</f>
        <v>118</v>
      </c>
      <c r="J234" s="49">
        <f>+'Cons spec tot e finalizzati'!P234-'Cons spec tot e finalizzati'!Q234</f>
        <v>131</v>
      </c>
      <c r="K234" s="49">
        <f>+'Cons spec tot e finalizzati'!R234-'Cons spec tot e finalizzati'!S234</f>
        <v>154</v>
      </c>
      <c r="L234" s="49">
        <f>+'Cons spec tot e finalizzati'!T234-'Cons spec tot e finalizzati'!U234</f>
        <v>166</v>
      </c>
      <c r="M234" s="49">
        <f>+'Cons spec tot e finalizzati'!V234-'Cons spec tot e finalizzati'!W234</f>
        <v>178</v>
      </c>
    </row>
    <row r="235" spans="1:13" s="2" customFormat="1" ht="12.75">
      <c r="A235" s="27"/>
      <c r="B235" s="21" t="s">
        <v>122</v>
      </c>
      <c r="D235" s="49">
        <f>+'Cons spec tot e finalizzati'!D235-'Cons spec tot e finalizzati'!E235</f>
        <v>577</v>
      </c>
      <c r="E235" s="49">
        <f>+'Cons spec tot e finalizzati'!F235-'Cons spec tot e finalizzati'!G235</f>
        <v>711</v>
      </c>
      <c r="F235" s="43">
        <f>+'Cons spec tot e finalizzati'!H235-'Cons spec tot e finalizzati'!I235</f>
        <v>821</v>
      </c>
      <c r="G235" s="52">
        <f>+'Cons spec tot e finalizzati'!J235-'Cons spec tot e finalizzati'!K235</f>
        <v>924</v>
      </c>
      <c r="H235" s="49">
        <f>+'Cons spec tot e finalizzati'!L235-'Cons spec tot e finalizzati'!M235</f>
        <v>853</v>
      </c>
      <c r="I235" s="49">
        <f>+'Cons spec tot e finalizzati'!N235-'Cons spec tot e finalizzati'!O235</f>
        <v>949</v>
      </c>
      <c r="J235" s="49">
        <f>+'Cons spec tot e finalizzati'!P235-'Cons spec tot e finalizzati'!Q235</f>
        <v>1077</v>
      </c>
      <c r="K235" s="49">
        <f>+'Cons spec tot e finalizzati'!R235-'Cons spec tot e finalizzati'!S235</f>
        <v>1056</v>
      </c>
      <c r="L235" s="49">
        <f>+'Cons spec tot e finalizzati'!T235-'Cons spec tot e finalizzati'!U235</f>
        <v>1133</v>
      </c>
      <c r="M235" s="49">
        <f>+'Cons spec tot e finalizzati'!V235-'Cons spec tot e finalizzati'!W235</f>
        <v>1170</v>
      </c>
    </row>
    <row r="236" spans="1:13" s="30" customFormat="1" ht="12.75">
      <c r="A236" s="57"/>
      <c r="B236" s="155" t="s">
        <v>123</v>
      </c>
      <c r="C236" s="158"/>
      <c r="D236" s="69">
        <f>+'Cons spec tot e finalizzati'!D236-'Cons spec tot e finalizzati'!E236</f>
        <v>184</v>
      </c>
      <c r="E236" s="69">
        <f>+'Cons spec tot e finalizzati'!F236-'Cons spec tot e finalizzati'!G236</f>
        <v>152</v>
      </c>
      <c r="F236" s="69">
        <f>+'Cons spec tot e finalizzati'!H236-'Cons spec tot e finalizzati'!I236</f>
        <v>156</v>
      </c>
      <c r="G236" s="64">
        <f>+'Cons spec tot e finalizzati'!J236-'Cons spec tot e finalizzati'!K236</f>
        <v>328</v>
      </c>
      <c r="H236" s="69">
        <f>+'Cons spec tot e finalizzati'!L236-'Cons spec tot e finalizzati'!M236</f>
        <v>370</v>
      </c>
      <c r="I236" s="69">
        <f>+'Cons spec tot e finalizzati'!N236-'Cons spec tot e finalizzati'!O236</f>
        <v>305</v>
      </c>
      <c r="J236" s="69">
        <f>+'Cons spec tot e finalizzati'!P236-'Cons spec tot e finalizzati'!Q236</f>
        <v>361</v>
      </c>
      <c r="K236" s="69">
        <f>+'Cons spec tot e finalizzati'!R236-'Cons spec tot e finalizzati'!S236</f>
        <v>380</v>
      </c>
      <c r="L236" s="69">
        <f>+'Cons spec tot e finalizzati'!T236-'Cons spec tot e finalizzati'!U236</f>
        <v>379</v>
      </c>
      <c r="M236" s="69">
        <f>+'Cons spec tot e finalizzati'!V236-'Cons spec tot e finalizzati'!W236</f>
        <v>355</v>
      </c>
    </row>
    <row r="237" spans="1:13" ht="15.75">
      <c r="A237" s="75" t="s">
        <v>45</v>
      </c>
      <c r="B237" s="75"/>
      <c r="C237" s="75"/>
      <c r="D237" s="75">
        <f>+'Cons spec tot e finalizzati'!D237-'Cons spec tot e finalizzati'!E237</f>
        <v>99212</v>
      </c>
      <c r="E237" s="75">
        <f>+'Cons spec tot e finalizzati'!F237-'Cons spec tot e finalizzati'!G237</f>
        <v>108868</v>
      </c>
      <c r="F237" s="75">
        <f>+'Cons spec tot e finalizzati'!H237-'Cons spec tot e finalizzati'!I237</f>
        <v>111908.82778228243</v>
      </c>
      <c r="G237" s="75">
        <f>+'Cons spec tot e finalizzati'!J237-'Cons spec tot e finalizzati'!K237</f>
        <v>116469</v>
      </c>
      <c r="H237" s="75">
        <f>+'Cons spec tot e finalizzati'!L237-'Cons spec tot e finalizzati'!M237</f>
        <v>121037</v>
      </c>
      <c r="I237" s="75">
        <f>+'Cons spec tot e finalizzati'!N237-'Cons spec tot e finalizzati'!O237</f>
        <v>127013</v>
      </c>
      <c r="J237" s="75">
        <f>+'Cons spec tot e finalizzati'!P237-'Cons spec tot e finalizzati'!Q237</f>
        <v>126006</v>
      </c>
      <c r="K237" s="75">
        <f>+'Cons spec tot e finalizzati'!R237-'Cons spec tot e finalizzati'!S237</f>
        <v>118246</v>
      </c>
      <c r="L237" s="75">
        <f>+'Cons spec tot e finalizzati'!T237-'Cons spec tot e finalizzati'!U237</f>
        <v>125207</v>
      </c>
      <c r="M237" s="75">
        <f>+'Cons spec tot e finalizzati'!V237-'Cons spec tot e finalizzati'!W237</f>
        <v>124810</v>
      </c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4" ht="12.75">
      <c r="A254" s="19"/>
    </row>
    <row r="441" ht="12.75">
      <c r="D441" s="59" t="s">
        <v>46</v>
      </c>
    </row>
  </sheetData>
  <hyperlinks>
    <hyperlink ref="A86:C86" location="ISTRUZIONE!D1" display="ISTRUZIONE!D1"/>
    <hyperlink ref="A86" location="ISTRUZIONE!E1" display="ISTRUZIONE!E1"/>
    <hyperlink ref="C86" location="ISTRUZIONE!V1" display="ISTRUZIONE!V1"/>
    <hyperlink ref="A116:C116" location="'SPORT E GIOVANI'!V1" display="'SPORT E GIOVANI'!V1"/>
    <hyperlink ref="A55:C55" location="'Lavori pubblici'!A1" display="'Lavori pubblici'!A1"/>
    <hyperlink ref="A144:C144" location="'Ambiente e verde'!A1" display="'Ambiente e verde'!A1"/>
    <hyperlink ref="A34:C34" location="PERSONALE!R1" display="PERSONALE!R1"/>
    <hyperlink ref="A41:C41" location="'P&amp;C'!S1" display="'P&amp;C'!S1"/>
    <hyperlink ref="A45:C45" location="'SISTEMI INFO'!S1" display="'SISTEMI INFO'!S1"/>
    <hyperlink ref="A111:C111" location="ECONOMIA!T1" display="ECONOMIA!T1"/>
    <hyperlink ref="A94:C94" location="CULTURA!R1" display="CULTURA!R1"/>
    <hyperlink ref="A131:C131" location="MOBILITA!T1" display="MOBILITA!T1"/>
    <hyperlink ref="A124:C124" location="'Programmi urbanistici'!A1" display="'Programmi urbanistici'!A1"/>
    <hyperlink ref="A81:C81" location="'SERVIZI SOCIALI'!T1" display="'SERVIZI SOCIALI'!T1"/>
    <hyperlink ref="A13:C13" location="GABINETTO!S1" display="GABINETTO!S1"/>
    <hyperlink ref="A21:C21" location="SEGR.GEN!t1" display="SEGR.GEN!t1"/>
    <hyperlink ref="A73:C73" location="PM!S1" display="PM!S1"/>
    <hyperlink ref="A19:C19" location="'STAFF CONS'!S1" display="'STAFF CONS'!S1"/>
    <hyperlink ref="A20:C20" location="'PART. SOCIETARIE'!A1" display="'PART. SOCIETARIE'!A1"/>
    <hyperlink ref="A24:C24" location="LEGALE!S1" display="LEGALE!S1"/>
    <hyperlink ref="A50:C50" location="Comunicazione!A1" display="Comunicazione!A1"/>
    <hyperlink ref="A152" location="QUARTIERI!A1" display="QUARTIERI!A1"/>
    <hyperlink ref="A25:C25" location="'AFFARI IST'!S1" display="'AFFARI IST'!S1"/>
    <hyperlink ref="A31:C31" location="ACQUISTI!S1" display="ACQUISTI!S1"/>
    <hyperlink ref="A10:C10" location="'DIREZIONE GEN'!S1" display="'DIREZIONE GEN'!S1"/>
    <hyperlink ref="A237:C237" location="TOTALE!T1" display="TOTALE!T1"/>
    <hyperlink ref="A23:C23" location="'STAFF AMM.'!A1" display="'STAFF AMM.'!A1"/>
    <hyperlink ref="A49:C49" location="RAGIONERIA!A1" display="RAGIONERIA!A1"/>
    <hyperlink ref="A79:C79" location="ENTRATE!A1" display="ENTRATE!A1"/>
    <hyperlink ref="A80:C80" location="PATRIMONIO!A1" display="PATRIMONIO!A1"/>
    <hyperlink ref="A143:C143" location="'Interventi per casa'!A1" display="'Interventi per casa'!A1"/>
    <hyperlink ref="A147:C147" location="DEMOGRAFICI!A1" display="DEMOGRAFICI!A1"/>
    <hyperlink ref="A147" location="'Servizi demografici'!A1" display="'Servizi demografici'!A1"/>
    <hyperlink ref="A10" location="'DIR GEN'!A1" display="'DIR GEN'!A1"/>
    <hyperlink ref="A13" location="Gabinetto!A1" display="Gabinetto!A1"/>
    <hyperlink ref="A19" location="'Staff del Consiglio'!A1" display="'Staff del Consiglio'!A1"/>
    <hyperlink ref="A20" location="'Partecipazione soc'!A1" display="'Partecipazione soc'!A1"/>
    <hyperlink ref="A24" location="Legale!A1" display="Legale!A1"/>
    <hyperlink ref="A21" location="'Segreteria Generale'!A1" display="'Segreteria Generale'!A1"/>
    <hyperlink ref="A23" location="'Amministrativo '!A1" display="'Amministrativo '!A1"/>
    <hyperlink ref="A25" location="'Affari ist'!A1" display="'Affari ist'!A1"/>
    <hyperlink ref="A49" location="Ragioneria!A1" display="Ragioneria!A1"/>
    <hyperlink ref="A31" location="Acquisti!A1" display="Acquisti!A1"/>
    <hyperlink ref="A34" location="'Personale '!A1" display="'Personale '!A1"/>
    <hyperlink ref="A41" location="'P&amp;C'!A1" display="'P&amp;C'!A1"/>
    <hyperlink ref="A45" location="'Sistemi info'!A1" display="'Sistemi info'!A1"/>
    <hyperlink ref="A55" location="LLPP!A1" display="LLPP!A1"/>
    <hyperlink ref="A81" location="'Sociale e salute'!A1" display="'Sociale e salute'!A1"/>
    <hyperlink ref="A94" location="Cultura!A1" display="Cultura!A1"/>
    <hyperlink ref="A111" location="Economia!A1" display="Economia!A1"/>
    <hyperlink ref="A116" location="Sport!A1" display="Sport!A1"/>
    <hyperlink ref="A124" location="'Programmi urb'!A1" display="'Programmi urb'!A1"/>
    <hyperlink ref="A131" location="Mobilità!A1" display="Mobilità!A1"/>
    <hyperlink ref="A143" location="Casa!A1" display="Casa!A1"/>
    <hyperlink ref="A144" location="'Ambiente '!A1" display="'Ambiente '!A1"/>
    <hyperlink ref="A50" location="'Comunicazione '!A1" display="'Comunicazione '!A1"/>
    <hyperlink ref="A73" location="PM!A1" display="PM!A1"/>
    <hyperlink ref="A237" location="'TOTALE CS'!A1" display="'TOTALE CS'!A1"/>
    <hyperlink ref="A12" location="'Staff politico isti'!A1" display="'Staff politico isti'!A1"/>
    <hyperlink ref="A22" location="'Settori di staff'!A1" display="'Settori di staff'!A1"/>
    <hyperlink ref="A153" location="'Coord Quartieri'!A1" display="'Coord Quartieri'!A1"/>
    <hyperlink ref="A54" location="'Settori di line'!A1" display="'Settori di line'!A1"/>
    <hyperlink ref="A165" location="Q.Borgo!A1" display="Q.Borgo!A1"/>
    <hyperlink ref="A173" location="Q.Navile!A1" display="Q.Navile!A1"/>
    <hyperlink ref="A181" location="Q.Porto!A1" display="Q.Porto!A1"/>
    <hyperlink ref="A189" location="Q.Reno!A1" display="Q.Reno!A1"/>
    <hyperlink ref="A197" location="Q.SDonato!A1" display="Q.SDonato!A1"/>
    <hyperlink ref="A205" location="Q.SStefano!A1" display="Q.SStefano!A1"/>
    <hyperlink ref="A213" location="Q.SVitale!A1" display="Q.SVitale!A1"/>
    <hyperlink ref="A221" location="Q.Saragozza!A1" display="Q.Saragozza!A1"/>
    <hyperlink ref="A229" location="Q.Savena!A1" display="Q.Savena!A1"/>
  </hyperlinks>
  <printOptions/>
  <pageMargins left="0.18" right="0.18" top="0.21" bottom="0.13" header="0.14" footer="0.12"/>
  <pageSetup horizontalDpi="600" verticalDpi="600" orientation="landscape" paperSize="9" scale="60" r:id="rId1"/>
  <rowBreaks count="4" manualBreakCount="4">
    <brk id="53" max="20" man="1"/>
    <brk id="86" max="20" man="1"/>
    <brk id="143" max="20" man="1"/>
    <brk id="219" max="2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117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'!D55</f>
        <v>14315</v>
      </c>
      <c r="C3" s="39">
        <f>+'Cons spec netti '!E55</f>
        <v>15831</v>
      </c>
      <c r="D3" s="39">
        <f>+'Cons spec netti '!F55</f>
        <v>15788.754688137502</v>
      </c>
      <c r="E3" s="39">
        <f>+'Cons spec netti '!G55</f>
        <v>14958</v>
      </c>
      <c r="F3" s="39">
        <f>+'Cons spec netti '!H55</f>
        <v>15154</v>
      </c>
      <c r="G3" s="39">
        <f>+'Cons spec netti '!I55</f>
        <v>15324</v>
      </c>
      <c r="H3" s="39">
        <f>+'Cons spec netti '!J55</f>
        <v>16643</v>
      </c>
      <c r="I3" s="39">
        <f>+'Cons spec netti '!K55</f>
        <v>14965</v>
      </c>
      <c r="J3" s="39">
        <f>+'Cons spec netti '!L55</f>
        <v>16009</v>
      </c>
      <c r="K3" s="39">
        <f>+'Cons spec netti '!M55</f>
        <v>15019</v>
      </c>
    </row>
    <row r="4" spans="1:11" ht="15" customHeight="1">
      <c r="A4" s="47" t="s">
        <v>52</v>
      </c>
      <c r="B4" s="39">
        <f>+'Cons spec tot e finalizzati'!E55</f>
        <v>235</v>
      </c>
      <c r="C4" s="39">
        <f>+'Cons spec tot e finalizzati'!G55</f>
        <v>166</v>
      </c>
      <c r="D4" s="41">
        <f>+'Cons spec tot e finalizzati'!I55</f>
        <v>2063.2453118624985</v>
      </c>
      <c r="E4" s="41">
        <f>+'Cons spec tot e finalizzati'!K55</f>
        <v>3635</v>
      </c>
      <c r="F4" s="41">
        <f>+'Cons spec tot e finalizzati'!M55</f>
        <v>2263</v>
      </c>
      <c r="G4" s="41">
        <f>+'Cons spec tot e finalizzati'!O55</f>
        <v>310</v>
      </c>
      <c r="H4" s="41">
        <f>+'Cons spec tot e finalizzati'!Q55</f>
        <v>740</v>
      </c>
      <c r="I4" s="41">
        <f>+'Cons spec tot e finalizzati'!S55</f>
        <v>679</v>
      </c>
      <c r="J4" s="41">
        <f>+'Cons spec tot e finalizzati'!U55</f>
        <v>241</v>
      </c>
      <c r="K4" s="41">
        <f>+'Cons spec tot e finalizzati'!W55</f>
        <v>407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110.59028990569333</v>
      </c>
      <c r="D6" s="145">
        <f t="shared" si="0"/>
        <v>110.29517770267204</v>
      </c>
      <c r="E6" s="145">
        <f t="shared" si="0"/>
        <v>104.49179182675515</v>
      </c>
      <c r="F6" s="145">
        <f t="shared" si="0"/>
        <v>105.86098498078937</v>
      </c>
      <c r="G6" s="145">
        <f t="shared" si="0"/>
        <v>107.04855047153336</v>
      </c>
      <c r="H6" s="145">
        <f t="shared" si="0"/>
        <v>116.26266154383514</v>
      </c>
      <c r="I6" s="145">
        <f t="shared" si="0"/>
        <v>104.54069158225639</v>
      </c>
      <c r="J6" s="145">
        <f t="shared" si="0"/>
        <v>111.83374083129584</v>
      </c>
      <c r="K6" s="145">
        <f>+K3/$B$3*100</f>
        <v>104.91791826755153</v>
      </c>
    </row>
    <row r="7" spans="1:11" ht="12.75">
      <c r="A7" t="s">
        <v>49</v>
      </c>
      <c r="B7" s="40">
        <f>+'Sistemi info'!B7</f>
        <v>100</v>
      </c>
      <c r="C7" s="40">
        <f>+'Sistemi info'!C7</f>
        <v>102.5</v>
      </c>
      <c r="D7" s="40">
        <f>+'Sistemi info'!D7</f>
        <v>105.2</v>
      </c>
      <c r="E7" s="40">
        <f>+'Sistemi info'!E7</f>
        <v>107.7</v>
      </c>
      <c r="F7" s="40">
        <f>+'Sistemi info'!F7</f>
        <v>109.8</v>
      </c>
      <c r="G7" s="40">
        <f>+'Sistemi info'!G7</f>
        <v>111.5</v>
      </c>
      <c r="H7" s="40">
        <f>+'Sistemi info'!H7</f>
        <v>113.1</v>
      </c>
      <c r="I7" s="40">
        <f>+'Sistemi info'!I7</f>
        <v>115.4</v>
      </c>
      <c r="J7" s="40">
        <f>+'Sistemi info'!J7</f>
        <v>117.5</v>
      </c>
      <c r="K7" s="40">
        <f>+'Sistemi info'!K7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0" sqref="F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118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'!D73</f>
        <v>2535</v>
      </c>
      <c r="C3" s="39">
        <f>+'Cons spec netti '!E73</f>
        <v>3345</v>
      </c>
      <c r="D3" s="39">
        <f>+'Cons spec netti '!F73</f>
        <v>3101</v>
      </c>
      <c r="E3" s="39">
        <f>+'Cons spec netti '!G73</f>
        <v>3006</v>
      </c>
      <c r="F3" s="39">
        <f>+'Cons spec netti '!H73</f>
        <v>4384</v>
      </c>
      <c r="G3" s="39">
        <f>+'Cons spec netti '!I73</f>
        <v>6668</v>
      </c>
      <c r="H3" s="39">
        <f>+'Cons spec netti '!J73</f>
        <v>6523</v>
      </c>
      <c r="I3" s="39">
        <f>+'Cons spec netti '!K73</f>
        <v>10165</v>
      </c>
      <c r="J3" s="39">
        <f>+'Cons spec netti '!L73</f>
        <v>11747</v>
      </c>
      <c r="K3" s="39">
        <f>+'Cons spec netti '!M73</f>
        <v>9254</v>
      </c>
    </row>
    <row r="4" spans="1:11" ht="15" customHeight="1">
      <c r="A4" s="47" t="s">
        <v>52</v>
      </c>
      <c r="B4" s="39">
        <f>+'Cons spec tot e finalizzati'!E73</f>
        <v>22</v>
      </c>
      <c r="C4" s="39">
        <f>+'Cons spec tot e finalizzati'!G73</f>
        <v>5</v>
      </c>
      <c r="D4" s="41">
        <f>+'Cons spec tot e finalizzati'!I73</f>
        <v>0</v>
      </c>
      <c r="E4" s="41">
        <f>+'Cons spec tot e finalizzati'!K73</f>
        <v>0</v>
      </c>
      <c r="F4" s="41">
        <f>+'Cons spec tot e finalizzati'!M73</f>
        <v>5</v>
      </c>
      <c r="G4" s="41">
        <f>+'Cons spec tot e finalizzati'!O73</f>
        <v>1</v>
      </c>
      <c r="H4" s="41">
        <f>+'Cons spec tot e finalizzati'!Q73</f>
        <v>7</v>
      </c>
      <c r="I4" s="41">
        <f>+'Cons spec tot e finalizzati'!S73</f>
        <v>0</v>
      </c>
      <c r="J4" s="41">
        <f>+'Cons spec tot e finalizzati'!U73</f>
        <v>64</v>
      </c>
      <c r="K4" s="41">
        <f>+'Cons spec tot e finalizzati'!W73</f>
        <v>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131.9526627218935</v>
      </c>
      <c r="D6" s="145">
        <f t="shared" si="0"/>
        <v>122.32741617357001</v>
      </c>
      <c r="E6" s="145">
        <f t="shared" si="0"/>
        <v>118.57988165680473</v>
      </c>
      <c r="F6" s="145">
        <f t="shared" si="0"/>
        <v>172.9388560157791</v>
      </c>
      <c r="G6" s="145">
        <f t="shared" si="0"/>
        <v>263.03747534516765</v>
      </c>
      <c r="H6" s="145">
        <f t="shared" si="0"/>
        <v>257.3175542406312</v>
      </c>
      <c r="I6" s="145">
        <f t="shared" si="0"/>
        <v>400.9861932938856</v>
      </c>
      <c r="J6" s="145">
        <f t="shared" si="0"/>
        <v>463.3925049309664</v>
      </c>
      <c r="K6" s="145">
        <f>+K3/$B$3*100</f>
        <v>365.0493096646943</v>
      </c>
    </row>
    <row r="7" spans="1:11" ht="12.75">
      <c r="A7" t="s">
        <v>49</v>
      </c>
      <c r="B7" s="40">
        <f>+'Servizi demografici'!B7</f>
        <v>100</v>
      </c>
      <c r="C7" s="40">
        <f>+'Servizi demografici'!C7</f>
        <v>102.5</v>
      </c>
      <c r="D7" s="40">
        <f>+'Servizi demografici'!D7</f>
        <v>105.2</v>
      </c>
      <c r="E7" s="40">
        <f>+'Servizi demografici'!E7</f>
        <v>107.7</v>
      </c>
      <c r="F7" s="40">
        <f>+'Servizi demografici'!F7</f>
        <v>109.8</v>
      </c>
      <c r="G7" s="40">
        <f>+'Servizi demografici'!G7</f>
        <v>111.5</v>
      </c>
      <c r="H7" s="40">
        <f>+'Servizi demografici'!H7</f>
        <v>113.1</v>
      </c>
      <c r="I7" s="40">
        <f>+'Servizi demografici'!I7</f>
        <v>115.4</v>
      </c>
      <c r="J7" s="40">
        <f>+'Servizi demografici'!J7</f>
        <v>117.5</v>
      </c>
      <c r="K7" s="40">
        <f>+'Servizi demografici'!K7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s="160" t="s">
        <v>60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'!D79</f>
        <v>784</v>
      </c>
      <c r="C3" s="39">
        <f>+'Cons spec netti '!E79</f>
        <v>954</v>
      </c>
      <c r="D3" s="39">
        <f>+'Cons spec netti '!F79</f>
        <v>1304</v>
      </c>
      <c r="E3" s="39">
        <f>+'Cons spec netti '!G79</f>
        <v>1852</v>
      </c>
      <c r="F3" s="39">
        <f>+'Cons spec netti '!H79</f>
        <v>3046</v>
      </c>
      <c r="G3" s="39">
        <f>+'Cons spec netti '!I79</f>
        <v>4516</v>
      </c>
      <c r="H3" s="39">
        <f>+'Cons spec netti '!J79</f>
        <v>4841</v>
      </c>
      <c r="I3" s="39">
        <f>+'Cons spec netti '!K79</f>
        <v>2727</v>
      </c>
      <c r="J3" s="39">
        <f>+'Cons spec netti '!L79</f>
        <v>3989</v>
      </c>
      <c r="K3" s="39">
        <f>+'Cons spec netti '!M79</f>
        <v>5750</v>
      </c>
    </row>
    <row r="4" spans="1:11" ht="15" customHeight="1">
      <c r="A4" s="47" t="s">
        <v>52</v>
      </c>
      <c r="B4" s="41">
        <f>+'Cons spec tot e finalizzati'!E79</f>
        <v>0</v>
      </c>
      <c r="C4" s="41">
        <f>+'Cons spec tot e finalizzati'!G79</f>
        <v>0</v>
      </c>
      <c r="D4" s="41">
        <f>+'Cons spec tot e finalizzati'!I79</f>
        <v>0</v>
      </c>
      <c r="E4" s="41">
        <f>+'Cons spec tot e finalizzati'!K79</f>
        <v>0</v>
      </c>
      <c r="F4" s="41">
        <f>+'Cons spec tot e finalizzati'!M79</f>
        <v>0</v>
      </c>
      <c r="G4" s="41">
        <f>+'Cons spec tot e finalizzati'!O79</f>
        <v>0</v>
      </c>
      <c r="H4" s="41">
        <f>+'Cons spec tot e finalizzati'!Q79</f>
        <v>0</v>
      </c>
      <c r="I4" s="41">
        <f>+'Cons spec tot e finalizzati'!S79</f>
        <v>0</v>
      </c>
      <c r="J4" s="41">
        <f>+'Cons spec tot e finalizzati'!U79</f>
        <v>0</v>
      </c>
      <c r="K4" s="41">
        <f>+'Cons spec tot e finalizzati'!W79</f>
        <v>3308</v>
      </c>
    </row>
    <row r="6" spans="1:11" ht="12.75">
      <c r="A6" t="s">
        <v>53</v>
      </c>
      <c r="B6" s="145">
        <f>+B7</f>
        <v>100</v>
      </c>
      <c r="C6" s="145">
        <f>+C3/$B$3*100</f>
        <v>121.68367346938776</v>
      </c>
      <c r="D6" s="145">
        <f aca="true" t="shared" si="0" ref="D6:J6">+D3/$B$3*100</f>
        <v>166.32653061224488</v>
      </c>
      <c r="E6" s="145">
        <f t="shared" si="0"/>
        <v>236.22448979591834</v>
      </c>
      <c r="F6" s="145">
        <f t="shared" si="0"/>
        <v>388.5204081632653</v>
      </c>
      <c r="G6" s="145">
        <f t="shared" si="0"/>
        <v>576.0204081632653</v>
      </c>
      <c r="H6" s="145">
        <f t="shared" si="0"/>
        <v>617.4744897959184</v>
      </c>
      <c r="I6" s="145">
        <f t="shared" si="0"/>
        <v>347.8316326530612</v>
      </c>
      <c r="J6" s="145">
        <f t="shared" si="0"/>
        <v>508.8010204081633</v>
      </c>
      <c r="K6" s="145">
        <f>+K3/$B$3*100</f>
        <v>733.4183673469388</v>
      </c>
    </row>
    <row r="7" spans="1:11" ht="12.75">
      <c r="A7" t="s">
        <v>49</v>
      </c>
      <c r="B7" s="40">
        <f>+Ragioneria!B7</f>
        <v>100</v>
      </c>
      <c r="C7" s="40">
        <f>+Ragioneria!C7</f>
        <v>102.5</v>
      </c>
      <c r="D7" s="40">
        <f>+Ragioneria!D7</f>
        <v>105.2</v>
      </c>
      <c r="E7" s="40">
        <f>+Ragioneria!E7</f>
        <v>107.7</v>
      </c>
      <c r="F7" s="40">
        <f>+Ragioneria!F7</f>
        <v>109.8</v>
      </c>
      <c r="G7" s="40">
        <f>+Ragioneria!G7</f>
        <v>111.5</v>
      </c>
      <c r="H7" s="40">
        <f>+Ragioneria!H7</f>
        <v>113.1</v>
      </c>
      <c r="I7" s="40">
        <f>+Ragioneria!I7</f>
        <v>115.4</v>
      </c>
      <c r="J7" s="40">
        <f>+Ragioneria!J7</f>
        <v>117.5</v>
      </c>
      <c r="K7" s="40">
        <f>+Ragioneria!K7</f>
        <v>121.1</v>
      </c>
    </row>
    <row r="29" ht="12.75">
      <c r="A29" s="154" t="s">
        <v>167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s="160" t="s">
        <v>116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'!D80</f>
        <v>172</v>
      </c>
      <c r="C3" s="39">
        <f>+'Cons spec netti '!E80</f>
        <v>172</v>
      </c>
      <c r="D3" s="39">
        <f>+'Cons spec netti '!F80</f>
        <v>131</v>
      </c>
      <c r="E3" s="39">
        <f>+'Cons spec netti '!G80</f>
        <v>189</v>
      </c>
      <c r="F3" s="39">
        <f>+'Cons spec netti '!H80</f>
        <v>240</v>
      </c>
      <c r="G3" s="39">
        <f>+'Cons spec netti '!I80</f>
        <v>264</v>
      </c>
      <c r="H3" s="39">
        <f>+'Cons spec netti '!J80</f>
        <v>185</v>
      </c>
      <c r="I3" s="39">
        <f>+'Cons spec netti '!K80</f>
        <v>126</v>
      </c>
      <c r="J3" s="39">
        <f>+'Cons spec netti '!L80</f>
        <v>129</v>
      </c>
      <c r="K3" s="39">
        <f>+'Cons spec netti '!M80</f>
        <v>17</v>
      </c>
    </row>
    <row r="4" spans="1:11" ht="15" customHeight="1">
      <c r="A4" s="47" t="s">
        <v>52</v>
      </c>
      <c r="B4" s="41">
        <f>+'Cons spec tot e finalizzati'!E80</f>
        <v>0</v>
      </c>
      <c r="C4" s="41">
        <f>+'Cons spec tot e finalizzati'!G80</f>
        <v>0</v>
      </c>
      <c r="D4" s="41">
        <f>+'Cons spec tot e finalizzati'!I80</f>
        <v>0</v>
      </c>
      <c r="E4" s="41">
        <f>+'Cons spec tot e finalizzati'!K80</f>
        <v>0</v>
      </c>
      <c r="F4" s="41">
        <f>+'Cons spec tot e finalizzati'!M80</f>
        <v>0</v>
      </c>
      <c r="G4" s="41">
        <f>+'Cons spec tot e finalizzati'!O80</f>
        <v>0</v>
      </c>
      <c r="H4" s="41">
        <f>+'Cons spec tot e finalizzati'!Q80</f>
        <v>0</v>
      </c>
      <c r="I4" s="41">
        <f>+'Cons spec tot e finalizzati'!S80</f>
        <v>0</v>
      </c>
      <c r="J4" s="41">
        <f>+'Cons spec tot e finalizzati'!U80</f>
        <v>0</v>
      </c>
      <c r="K4" s="41">
        <f>+'Cons spec tot e finalizzati'!W80</f>
        <v>0</v>
      </c>
    </row>
    <row r="6" spans="1:11" ht="12.75">
      <c r="A6" t="s">
        <v>53</v>
      </c>
      <c r="B6" s="145">
        <f>+B7</f>
        <v>100</v>
      </c>
      <c r="C6" s="145">
        <f aca="true" t="shared" si="0" ref="C6:J6">+C3/$B$3*100</f>
        <v>100</v>
      </c>
      <c r="D6" s="145">
        <f t="shared" si="0"/>
        <v>76.16279069767442</v>
      </c>
      <c r="E6" s="145">
        <f t="shared" si="0"/>
        <v>109.88372093023256</v>
      </c>
      <c r="F6" s="145">
        <f t="shared" si="0"/>
        <v>139.53488372093022</v>
      </c>
      <c r="G6" s="145">
        <f t="shared" si="0"/>
        <v>153.48837209302326</v>
      </c>
      <c r="H6" s="145">
        <f t="shared" si="0"/>
        <v>107.55813953488371</v>
      </c>
      <c r="I6" s="145">
        <f t="shared" si="0"/>
        <v>73.25581395348837</v>
      </c>
      <c r="J6" s="145">
        <f t="shared" si="0"/>
        <v>75</v>
      </c>
      <c r="K6" s="145">
        <f>+K3/$B$3*100</f>
        <v>9.883720930232558</v>
      </c>
    </row>
    <row r="7" spans="1:11" ht="12.75">
      <c r="A7" t="s">
        <v>49</v>
      </c>
      <c r="B7" s="40">
        <f>+Entrate!B7</f>
        <v>100</v>
      </c>
      <c r="C7" s="40">
        <f>+Entrate!C7</f>
        <v>102.5</v>
      </c>
      <c r="D7" s="40">
        <f>+Entrate!D7</f>
        <v>105.2</v>
      </c>
      <c r="E7" s="40">
        <f>+Entrate!E7</f>
        <v>107.7</v>
      </c>
      <c r="F7" s="40">
        <f>+Entrate!F7</f>
        <v>109.8</v>
      </c>
      <c r="G7" s="40">
        <f>+Entrate!G7</f>
        <v>111.5</v>
      </c>
      <c r="H7" s="40">
        <f>+Entrate!H7</f>
        <v>113.1</v>
      </c>
      <c r="I7" s="40">
        <f>+Entrate!I7</f>
        <v>115.4</v>
      </c>
      <c r="J7" s="40">
        <f>+Entrate!J7</f>
        <v>117.5</v>
      </c>
      <c r="K7" s="40">
        <f>+Entrate!K7</f>
        <v>121.1</v>
      </c>
    </row>
    <row r="29" ht="12.75">
      <c r="A29" s="154" t="s">
        <v>167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'!D81</f>
        <v>2862</v>
      </c>
      <c r="C3" s="39">
        <f>+'Cons spec netti '!E81</f>
        <v>3426</v>
      </c>
      <c r="D3" s="39">
        <f>+'Cons spec netti '!F81</f>
        <v>4543</v>
      </c>
      <c r="E3" s="39">
        <f>+'Cons spec netti '!G81</f>
        <v>2982</v>
      </c>
      <c r="F3" s="39">
        <f>+'Cons spec netti '!H81</f>
        <v>1583</v>
      </c>
      <c r="G3" s="39">
        <f>+'Cons spec netti '!I81</f>
        <v>1425</v>
      </c>
      <c r="H3" s="39">
        <f>+'Cons spec netti '!J81</f>
        <v>1266</v>
      </c>
      <c r="I3" s="39">
        <f>+'Cons spec netti '!K81</f>
        <v>928</v>
      </c>
      <c r="J3" s="39">
        <f>+'Cons spec netti '!L81</f>
        <v>678</v>
      </c>
      <c r="K3" s="39">
        <f>+'Cons spec netti '!M81</f>
        <v>964</v>
      </c>
    </row>
    <row r="4" spans="1:11" ht="15" customHeight="1">
      <c r="A4" s="47" t="s">
        <v>52</v>
      </c>
      <c r="B4" s="39">
        <f>+'Cons spec tot e finalizzati'!E81</f>
        <v>31</v>
      </c>
      <c r="C4" s="39">
        <f>+'Cons spec tot e finalizzati'!G81</f>
        <v>0</v>
      </c>
      <c r="D4" s="41">
        <f>+'Cons spec tot e finalizzati'!I81</f>
        <v>39</v>
      </c>
      <c r="E4" s="41">
        <f>+'Cons spec tot e finalizzati'!K81</f>
        <v>58</v>
      </c>
      <c r="F4" s="41">
        <f>+'Cons spec tot e finalizzati'!M81</f>
        <v>720</v>
      </c>
      <c r="G4" s="41">
        <f>+'Cons spec tot e finalizzati'!O81</f>
        <v>733</v>
      </c>
      <c r="H4" s="41">
        <f>+'Cons spec tot e finalizzati'!Q81</f>
        <v>676</v>
      </c>
      <c r="I4" s="41">
        <f>+'Cons spec tot e finalizzati'!S81</f>
        <v>655</v>
      </c>
      <c r="J4" s="41">
        <f>+'Cons spec tot e finalizzati'!U81</f>
        <v>764</v>
      </c>
      <c r="K4" s="41">
        <f>+'Cons spec tot e finalizzati'!W81</f>
        <v>740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119.70649895178198</v>
      </c>
      <c r="D6" s="145">
        <f t="shared" si="0"/>
        <v>158.7351502445842</v>
      </c>
      <c r="E6" s="145">
        <f t="shared" si="0"/>
        <v>104.19287211740043</v>
      </c>
      <c r="F6" s="145">
        <f t="shared" si="0"/>
        <v>55.31097134870719</v>
      </c>
      <c r="G6" s="145">
        <f t="shared" si="0"/>
        <v>49.79035639412998</v>
      </c>
      <c r="H6" s="145">
        <f t="shared" si="0"/>
        <v>44.23480083857442</v>
      </c>
      <c r="I6" s="145">
        <f t="shared" si="0"/>
        <v>32.42487770789658</v>
      </c>
      <c r="J6" s="145">
        <f t="shared" si="0"/>
        <v>23.68972746331237</v>
      </c>
      <c r="K6" s="145">
        <f>+K3/$B$3*100</f>
        <v>33.6827393431167</v>
      </c>
    </row>
    <row r="7" spans="1:11" ht="12.75">
      <c r="A7" t="s">
        <v>49</v>
      </c>
      <c r="B7" s="40">
        <f>+Entrate!B7</f>
        <v>100</v>
      </c>
      <c r="C7" s="40">
        <f>+Entrate!C7</f>
        <v>102.5</v>
      </c>
      <c r="D7" s="40">
        <f>+Entrate!D7</f>
        <v>105.2</v>
      </c>
      <c r="E7" s="40">
        <f>+Entrate!E7</f>
        <v>107.7</v>
      </c>
      <c r="F7" s="40">
        <f>+Entrate!F7</f>
        <v>109.8</v>
      </c>
      <c r="G7" s="40">
        <f>+Entrate!G7</f>
        <v>111.5</v>
      </c>
      <c r="H7" s="40">
        <f>+Entrate!H7</f>
        <v>113.1</v>
      </c>
      <c r="I7" s="40">
        <f>+Entrate!I7</f>
        <v>115.4</v>
      </c>
      <c r="J7" s="40">
        <f>+Entrate!J7</f>
        <v>117.5</v>
      </c>
      <c r="K7" s="40">
        <f>+Entrate!K7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60" t="s">
        <v>151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'!D86</f>
        <v>1937</v>
      </c>
      <c r="C3" s="39">
        <f>+'Cons spec netti '!E86</f>
        <v>2164</v>
      </c>
      <c r="D3" s="39">
        <f>+'Cons spec netti '!F86</f>
        <v>2975</v>
      </c>
      <c r="E3" s="39">
        <f>+'Cons spec netti '!G86</f>
        <v>4289</v>
      </c>
      <c r="F3" s="39">
        <f>+'Cons spec netti '!H86</f>
        <v>3445</v>
      </c>
      <c r="G3" s="39">
        <f>+'Cons spec netti '!I86</f>
        <v>1924</v>
      </c>
      <c r="H3" s="39">
        <f>+'Cons spec netti '!J86</f>
        <v>1691</v>
      </c>
      <c r="I3" s="39">
        <f>+'Cons spec netti '!K86</f>
        <v>324</v>
      </c>
      <c r="J3" s="39">
        <f>+'Cons spec netti '!L86</f>
        <v>796</v>
      </c>
      <c r="K3" s="39">
        <f>+'Cons spec netti '!M86</f>
        <v>755</v>
      </c>
    </row>
    <row r="4" spans="1:11" ht="15" customHeight="1">
      <c r="A4" s="47" t="s">
        <v>52</v>
      </c>
      <c r="B4" s="39">
        <f>+'Cons spec tot e finalizzati'!E86</f>
        <v>795</v>
      </c>
      <c r="C4" s="39">
        <f>+'Cons spec tot e finalizzati'!G86</f>
        <v>1192</v>
      </c>
      <c r="D4" s="39">
        <f>+'Cons spec tot e finalizzati'!I86</f>
        <v>1235</v>
      </c>
      <c r="E4" s="39">
        <f>+'Cons spec tot e finalizzati'!K86</f>
        <v>1571</v>
      </c>
      <c r="F4" s="39">
        <f>+'Cons spec tot e finalizzati'!M86</f>
        <v>407</v>
      </c>
      <c r="G4" s="39">
        <f>+'Cons spec tot e finalizzati'!O86</f>
        <v>649</v>
      </c>
      <c r="H4" s="39">
        <f>+'Cons spec tot e finalizzati'!Q86</f>
        <v>820</v>
      </c>
      <c r="I4" s="39">
        <f>+'Cons spec tot e finalizzati'!S86</f>
        <v>840</v>
      </c>
      <c r="J4" s="39">
        <f>+'Cons spec tot e finalizzati'!U86</f>
        <v>1466</v>
      </c>
      <c r="K4" s="39">
        <f>+'Cons spec tot e finalizzati'!W86</f>
        <v>1691</v>
      </c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t="s">
        <v>53</v>
      </c>
      <c r="B6" s="144">
        <f>+B7</f>
        <v>100</v>
      </c>
      <c r="C6" s="144">
        <f aca="true" t="shared" si="0" ref="C6:J6">+C3/$B$3*100</f>
        <v>111.71915332989157</v>
      </c>
      <c r="D6" s="144">
        <f t="shared" si="0"/>
        <v>153.5880227155395</v>
      </c>
      <c r="E6" s="144">
        <f t="shared" si="0"/>
        <v>221.4248838409912</v>
      </c>
      <c r="F6" s="144">
        <f t="shared" si="0"/>
        <v>177.8523489932886</v>
      </c>
      <c r="G6" s="144">
        <f t="shared" si="0"/>
        <v>99.32885906040269</v>
      </c>
      <c r="H6" s="144">
        <f t="shared" si="0"/>
        <v>87.29994837377387</v>
      </c>
      <c r="I6" s="144">
        <f t="shared" si="0"/>
        <v>16.726897263810013</v>
      </c>
      <c r="J6" s="144">
        <f t="shared" si="0"/>
        <v>41.09447599380485</v>
      </c>
      <c r="K6" s="144">
        <f>+K3/$B$3*100</f>
        <v>38.977800722767164</v>
      </c>
    </row>
    <row r="7" spans="1:11" ht="12.75">
      <c r="A7" t="s">
        <v>49</v>
      </c>
      <c r="B7" s="40">
        <f>+'Sociale e salute'!B7</f>
        <v>100</v>
      </c>
      <c r="C7" s="40">
        <f>+'Sociale e salute'!C7</f>
        <v>102.5</v>
      </c>
      <c r="D7" s="40">
        <f>+'Sociale e salute'!D7</f>
        <v>105.2</v>
      </c>
      <c r="E7" s="40">
        <f>+'Sociale e salute'!E7</f>
        <v>107.7</v>
      </c>
      <c r="F7" s="40">
        <f>+'Sociale e salute'!F7</f>
        <v>109.8</v>
      </c>
      <c r="G7" s="40">
        <f>+'Sociale e salute'!G7</f>
        <v>111.5</v>
      </c>
      <c r="H7" s="40">
        <f>+'Sociale e salute'!H7</f>
        <v>113.1</v>
      </c>
      <c r="I7" s="40">
        <f>+'Sociale e salute'!I7</f>
        <v>115.4</v>
      </c>
      <c r="J7" s="40">
        <f>+'Sociale e salute'!J7</f>
        <v>117.5</v>
      </c>
      <c r="K7" s="40">
        <f>+'Sociale e salute'!K7</f>
        <v>121.1</v>
      </c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2.7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3" spans="2:11" ht="12.75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2.7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2.75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.75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2.7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9" ht="12.75">
      <c r="A29" s="154" t="s">
        <v>167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124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'!D94</f>
        <v>8824</v>
      </c>
      <c r="C3" s="39">
        <f>+'Cons spec netti '!E94</f>
        <v>10784</v>
      </c>
      <c r="D3" s="39">
        <f>+'Cons spec netti '!F94</f>
        <v>9942</v>
      </c>
      <c r="E3" s="39">
        <f>+'Cons spec netti '!G94</f>
        <v>10352</v>
      </c>
      <c r="F3" s="39">
        <f>+'Cons spec netti '!H94</f>
        <v>12689</v>
      </c>
      <c r="G3" s="39">
        <f>+'Cons spec netti '!I94</f>
        <v>12606</v>
      </c>
      <c r="H3" s="39">
        <f>+'Cons spec netti '!J94</f>
        <v>11623</v>
      </c>
      <c r="I3" s="39">
        <f>+'Cons spec netti '!K94</f>
        <v>8122</v>
      </c>
      <c r="J3" s="39">
        <f>+'Cons spec netti '!L94</f>
        <v>8298</v>
      </c>
      <c r="K3" s="39">
        <f>+'Cons spec netti '!M94</f>
        <v>8664</v>
      </c>
    </row>
    <row r="4" spans="1:11" ht="15" customHeight="1">
      <c r="A4" s="47" t="s">
        <v>52</v>
      </c>
      <c r="B4" s="39">
        <f>+'Cons spec tot e finalizzati'!E94</f>
        <v>7319</v>
      </c>
      <c r="C4" s="39">
        <f>+'Cons spec tot e finalizzati'!G94</f>
        <v>3888</v>
      </c>
      <c r="D4" s="41">
        <f>+'Cons spec tot e finalizzati'!I94</f>
        <v>1616</v>
      </c>
      <c r="E4" s="41">
        <f>+'Cons spec tot e finalizzati'!K94</f>
        <v>562</v>
      </c>
      <c r="F4" s="41">
        <f>+'Cons spec tot e finalizzati'!M94</f>
        <v>2105</v>
      </c>
      <c r="G4" s="41">
        <f>+'Cons spec tot e finalizzati'!O94</f>
        <v>1684</v>
      </c>
      <c r="H4" s="41">
        <f>+'Cons spec tot e finalizzati'!Q94</f>
        <v>1968</v>
      </c>
      <c r="I4" s="41">
        <f>+'Cons spec tot e finalizzati'!S94</f>
        <v>1117</v>
      </c>
      <c r="J4" s="41">
        <f>+'Cons spec tot e finalizzati'!U94</f>
        <v>1343</v>
      </c>
      <c r="K4" s="41">
        <f>+'Cons spec tot e finalizzati'!W94</f>
        <v>1525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122.21214868540345</v>
      </c>
      <c r="D6" s="145">
        <f t="shared" si="0"/>
        <v>112.66999093381686</v>
      </c>
      <c r="E6" s="145">
        <f t="shared" si="0"/>
        <v>117.3164097914778</v>
      </c>
      <c r="F6" s="145">
        <f t="shared" si="0"/>
        <v>143.80099728014505</v>
      </c>
      <c r="G6" s="145">
        <f t="shared" si="0"/>
        <v>142.86038077969175</v>
      </c>
      <c r="H6" s="145">
        <f t="shared" si="0"/>
        <v>131.72030825022665</v>
      </c>
      <c r="I6" s="145">
        <f t="shared" si="0"/>
        <v>92.04442429737081</v>
      </c>
      <c r="J6" s="145">
        <f t="shared" si="0"/>
        <v>94.03898458748867</v>
      </c>
      <c r="K6" s="145">
        <f>+K3/$B$3*100</f>
        <v>98.18676337262012</v>
      </c>
    </row>
    <row r="7" spans="1:11" ht="12.75">
      <c r="A7" t="s">
        <v>49</v>
      </c>
      <c r="B7" s="40">
        <f>+'Sociale e salute'!B7</f>
        <v>100</v>
      </c>
      <c r="C7" s="40">
        <f>+'Sociale e salute'!C7</f>
        <v>102.5</v>
      </c>
      <c r="D7" s="40">
        <f>+'Sociale e salute'!D7</f>
        <v>105.2</v>
      </c>
      <c r="E7" s="40">
        <f>+'Sociale e salute'!E7</f>
        <v>107.7</v>
      </c>
      <c r="F7" s="40">
        <f>+'Sociale e salute'!F7</f>
        <v>109.8</v>
      </c>
      <c r="G7" s="40">
        <f>+'Sociale e salute'!G7</f>
        <v>111.5</v>
      </c>
      <c r="H7" s="40">
        <f>+'Sociale e salute'!H7</f>
        <v>113.1</v>
      </c>
      <c r="I7" s="40">
        <f>+'Sociale e salute'!I7</f>
        <v>115.4</v>
      </c>
      <c r="J7" s="40">
        <f>+'Sociale e salute'!J7</f>
        <v>117.5</v>
      </c>
      <c r="K7" s="40">
        <f>+'Sociale e salute'!K7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00" display="'Cons spec tot e finalizzati'!A10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29" sqref="D29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60" t="s">
        <v>163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'!D111</f>
        <v>774</v>
      </c>
      <c r="C3" s="39">
        <f>+'Cons spec netti '!E111</f>
        <v>1239</v>
      </c>
      <c r="D3" s="39">
        <f>+'Cons spec netti '!F111</f>
        <v>648</v>
      </c>
      <c r="E3" s="39">
        <f>+'Cons spec netti '!G111</f>
        <v>931</v>
      </c>
      <c r="F3" s="39">
        <f>+'Cons spec netti '!H111</f>
        <v>631</v>
      </c>
      <c r="G3" s="39">
        <f>+'Cons spec netti '!I111</f>
        <v>783</v>
      </c>
      <c r="H3" s="39">
        <f>+'Cons spec netti '!J111</f>
        <v>591</v>
      </c>
      <c r="I3" s="39">
        <f>+'Cons spec netti '!K111</f>
        <v>216</v>
      </c>
      <c r="J3" s="39">
        <f>+'Cons spec netti '!L111</f>
        <v>407</v>
      </c>
      <c r="K3" s="39">
        <f>+'Cons spec netti '!M111</f>
        <v>117</v>
      </c>
    </row>
    <row r="4" spans="1:11" ht="15" customHeight="1">
      <c r="A4" s="47" t="s">
        <v>52</v>
      </c>
      <c r="B4" s="39">
        <f>+'Cons spec tot e finalizzati'!E111</f>
        <v>2561</v>
      </c>
      <c r="C4" s="39">
        <f>+'Cons spec tot e finalizzati'!G111</f>
        <v>1425</v>
      </c>
      <c r="D4" s="39">
        <f>+'Cons spec tot e finalizzati'!I111</f>
        <v>2772</v>
      </c>
      <c r="E4" s="39">
        <f>+'Cons spec tot e finalizzati'!K111</f>
        <v>2088</v>
      </c>
      <c r="F4" s="39">
        <f>+'Cons spec tot e finalizzati'!M111</f>
        <v>2461</v>
      </c>
      <c r="G4" s="39">
        <f>+'Cons spec tot e finalizzati'!O111</f>
        <v>87</v>
      </c>
      <c r="H4" s="39">
        <f>+'Cons spec tot e finalizzati'!Q111</f>
        <v>2401</v>
      </c>
      <c r="I4" s="39">
        <f>+'Cons spec tot e finalizzati'!S111</f>
        <v>133</v>
      </c>
      <c r="J4" s="39">
        <f>+'Cons spec tot e finalizzati'!U111</f>
        <v>7</v>
      </c>
      <c r="K4" s="39">
        <f>+'Cons spec tot e finalizzati'!W111</f>
        <v>1173</v>
      </c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t="s">
        <v>53</v>
      </c>
      <c r="B6" s="144">
        <f>+B7</f>
        <v>100</v>
      </c>
      <c r="C6" s="144">
        <f aca="true" t="shared" si="0" ref="C6:J6">+C3/$B$3*100</f>
        <v>160.07751937984494</v>
      </c>
      <c r="D6" s="144">
        <f t="shared" si="0"/>
        <v>83.72093023255815</v>
      </c>
      <c r="E6" s="144">
        <f t="shared" si="0"/>
        <v>120.2842377260982</v>
      </c>
      <c r="F6" s="144">
        <f t="shared" si="0"/>
        <v>81.52454780361758</v>
      </c>
      <c r="G6" s="144">
        <f t="shared" si="0"/>
        <v>101.16279069767442</v>
      </c>
      <c r="H6" s="144">
        <f t="shared" si="0"/>
        <v>76.35658914728683</v>
      </c>
      <c r="I6" s="144">
        <f t="shared" si="0"/>
        <v>27.906976744186046</v>
      </c>
      <c r="J6" s="144">
        <f t="shared" si="0"/>
        <v>52.58397932816538</v>
      </c>
      <c r="K6" s="144">
        <f>+K3/$B$3*100</f>
        <v>15.11627906976744</v>
      </c>
    </row>
    <row r="7" spans="1:11" ht="12.75">
      <c r="A7" t="s">
        <v>49</v>
      </c>
      <c r="B7" s="40">
        <f>+'Sociale e salute'!B7</f>
        <v>100</v>
      </c>
      <c r="C7" s="40">
        <f>+'Sociale e salute'!C7</f>
        <v>102.5</v>
      </c>
      <c r="D7" s="40">
        <f>+'Sociale e salute'!D7</f>
        <v>105.2</v>
      </c>
      <c r="E7" s="40">
        <f>+'Sociale e salute'!E7</f>
        <v>107.7</v>
      </c>
      <c r="F7" s="40">
        <f>+'Sociale e salute'!F7</f>
        <v>109.8</v>
      </c>
      <c r="G7" s="40">
        <f>+'Sociale e salute'!G7</f>
        <v>111.5</v>
      </c>
      <c r="H7" s="40">
        <f>+'Sociale e salute'!H7</f>
        <v>113.1</v>
      </c>
      <c r="I7" s="40">
        <f>+'Sociale e salute'!I7</f>
        <v>115.4</v>
      </c>
      <c r="J7" s="40">
        <f>+'Sociale e salute'!J7</f>
        <v>117.5</v>
      </c>
      <c r="K7" s="40">
        <f>+'Sociale e salute'!K7</f>
        <v>121.1</v>
      </c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ht="12.7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3" spans="2:11" ht="12.75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2.7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2.75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2.75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2.7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9" ht="12.75">
      <c r="A29" s="154" t="s">
        <v>167</v>
      </c>
    </row>
  </sheetData>
  <hyperlinks>
    <hyperlink ref="A29" location="'Cons spec tot e finalizzati'!A100" display="'Cons spec tot e finalizzati'!A10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0" sqref="E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'!D116</f>
        <v>4324</v>
      </c>
      <c r="C3" s="39">
        <f>+'Cons spec netti '!E116</f>
        <v>4083</v>
      </c>
      <c r="D3" s="39">
        <f>+'Cons spec netti '!F116</f>
        <v>4717</v>
      </c>
      <c r="E3" s="39">
        <f>+'Cons spec netti '!G116</f>
        <v>4930</v>
      </c>
      <c r="F3" s="39">
        <f>+'Cons spec netti '!H116</f>
        <v>5066</v>
      </c>
      <c r="G3" s="39">
        <f>+'Cons spec netti '!I116</f>
        <v>4386</v>
      </c>
      <c r="H3" s="39">
        <f>+'Cons spec netti '!J116</f>
        <v>4269</v>
      </c>
      <c r="I3" s="39">
        <f>+'Cons spec netti '!K116</f>
        <v>3034</v>
      </c>
      <c r="J3" s="39">
        <f>+'Cons spec netti '!L116</f>
        <v>2816</v>
      </c>
      <c r="K3" s="39">
        <f>+'Cons spec netti '!M116</f>
        <v>2428</v>
      </c>
    </row>
    <row r="4" spans="1:11" ht="15" customHeight="1">
      <c r="A4" s="47" t="s">
        <v>52</v>
      </c>
      <c r="B4" s="39">
        <f>+'Cons spec tot e finalizzati'!E116</f>
        <v>3</v>
      </c>
      <c r="C4" s="39">
        <f>+'Cons spec tot e finalizzati'!G116</f>
        <v>5</v>
      </c>
      <c r="D4" s="41">
        <f>+'Cons spec tot e finalizzati'!I116</f>
        <v>168</v>
      </c>
      <c r="E4" s="41">
        <f>+'Cons spec tot e finalizzati'!K116</f>
        <v>496</v>
      </c>
      <c r="F4" s="41">
        <f>+'Cons spec tot e finalizzati'!M116</f>
        <v>509</v>
      </c>
      <c r="G4" s="41">
        <f>+'Cons spec tot e finalizzati'!O116</f>
        <v>992</v>
      </c>
      <c r="H4" s="41">
        <f>+'Cons spec tot e finalizzati'!Q116</f>
        <v>1047</v>
      </c>
      <c r="I4" s="41">
        <f>+'Cons spec tot e finalizzati'!S116</f>
        <v>728</v>
      </c>
      <c r="J4" s="41">
        <f>+'Cons spec tot e finalizzati'!U116</f>
        <v>962</v>
      </c>
      <c r="K4" s="41">
        <f>+'Cons spec tot e finalizzati'!W116</f>
        <v>1027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94.42645698427383</v>
      </c>
      <c r="D6" s="145">
        <f t="shared" si="0"/>
        <v>109.08880666049954</v>
      </c>
      <c r="E6" s="145">
        <f t="shared" si="0"/>
        <v>114.01480111008327</v>
      </c>
      <c r="F6" s="145">
        <f t="shared" si="0"/>
        <v>117.16003700277523</v>
      </c>
      <c r="G6" s="145">
        <f t="shared" si="0"/>
        <v>101.43385753931544</v>
      </c>
      <c r="H6" s="145">
        <f t="shared" si="0"/>
        <v>98.72802960222018</v>
      </c>
      <c r="I6" s="145">
        <f t="shared" si="0"/>
        <v>70.16651248843662</v>
      </c>
      <c r="J6" s="145">
        <f t="shared" si="0"/>
        <v>65.12488436632748</v>
      </c>
      <c r="K6" s="145">
        <f>+K3/$B$3*100</f>
        <v>56.151711378353376</v>
      </c>
    </row>
    <row r="7" spans="1:11" ht="12.75">
      <c r="A7" t="s">
        <v>49</v>
      </c>
      <c r="B7" s="40">
        <f>+'Attività produttive'!B7</f>
        <v>100</v>
      </c>
      <c r="C7" s="40">
        <f>+'Attività produttive'!C7</f>
        <v>102.5</v>
      </c>
      <c r="D7" s="40">
        <f>+'Attività produttive'!D7</f>
        <v>105.2</v>
      </c>
      <c r="E7" s="40">
        <f>+'Attività produttive'!E7</f>
        <v>107.7</v>
      </c>
      <c r="F7" s="40">
        <f>+'Attività produttive'!F7</f>
        <v>109.8</v>
      </c>
      <c r="G7" s="40">
        <f>+'Attività produttive'!G7</f>
        <v>111.5</v>
      </c>
      <c r="H7" s="40">
        <f>+'Attività produttive'!H7</f>
        <v>113.1</v>
      </c>
      <c r="I7" s="40">
        <f>+'Attività produttive'!I7</f>
        <v>115.4</v>
      </c>
      <c r="J7" s="40">
        <f>+'Attività produttive'!J7</f>
        <v>117.5</v>
      </c>
      <c r="K7" s="40">
        <f>+'Attività produttive'!K7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29" sqref="D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155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'!D124</f>
        <v>2046</v>
      </c>
      <c r="C3" s="39">
        <f>+'Cons spec netti '!E124</f>
        <v>1648</v>
      </c>
      <c r="D3" s="39">
        <f>+'Cons spec netti '!F124</f>
        <v>1349</v>
      </c>
      <c r="E3" s="39">
        <f>+'Cons spec netti '!G124</f>
        <v>1776</v>
      </c>
      <c r="F3" s="39">
        <f>+'Cons spec netti '!H124</f>
        <v>1390</v>
      </c>
      <c r="G3" s="39">
        <f>+'Cons spec netti '!I124</f>
        <v>839</v>
      </c>
      <c r="H3" s="39">
        <f>+'Cons spec netti '!J124</f>
        <v>1279</v>
      </c>
      <c r="I3" s="39">
        <f>+'Cons spec netti '!K124</f>
        <v>394</v>
      </c>
      <c r="J3" s="39">
        <f>+'Cons spec netti '!L124</f>
        <v>458</v>
      </c>
      <c r="K3" s="39">
        <f>+'Cons spec netti '!M124</f>
        <v>244</v>
      </c>
    </row>
    <row r="4" spans="1:11" ht="15" customHeight="1">
      <c r="A4" s="47" t="s">
        <v>52</v>
      </c>
      <c r="B4" s="39">
        <f>+'Cons spec tot e finalizzati'!E124</f>
        <v>0</v>
      </c>
      <c r="C4" s="39">
        <f>+'Cons spec tot e finalizzati'!G124</f>
        <v>52</v>
      </c>
      <c r="D4" s="41">
        <f>+'Cons spec tot e finalizzati'!I124</f>
        <v>0</v>
      </c>
      <c r="E4" s="41">
        <f>+'Cons spec tot e finalizzati'!K124</f>
        <v>11</v>
      </c>
      <c r="F4" s="41">
        <f>+'Cons spec tot e finalizzati'!M124</f>
        <v>0</v>
      </c>
      <c r="G4" s="41">
        <f>+'Cons spec tot e finalizzati'!O124</f>
        <v>393</v>
      </c>
      <c r="H4" s="41">
        <f>+'Cons spec tot e finalizzati'!Q124</f>
        <v>500</v>
      </c>
      <c r="I4" s="41">
        <f>+'Cons spec tot e finalizzati'!S124</f>
        <v>1587</v>
      </c>
      <c r="J4" s="41">
        <f>+'Cons spec tot e finalizzati'!U124</f>
        <v>1301</v>
      </c>
      <c r="K4" s="41">
        <f>+'Cons spec tot e finalizzati'!W124</f>
        <v>1224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80.54740957966764</v>
      </c>
      <c r="D6" s="145">
        <f t="shared" si="0"/>
        <v>65.93352883675465</v>
      </c>
      <c r="E6" s="145">
        <f t="shared" si="0"/>
        <v>86.80351906158357</v>
      </c>
      <c r="F6" s="145">
        <f t="shared" si="0"/>
        <v>67.93743890518084</v>
      </c>
      <c r="G6" s="145">
        <f t="shared" si="0"/>
        <v>41.006842619745846</v>
      </c>
      <c r="H6" s="145">
        <f t="shared" si="0"/>
        <v>62.51221896383187</v>
      </c>
      <c r="I6" s="145">
        <f t="shared" si="0"/>
        <v>19.257086999022484</v>
      </c>
      <c r="J6" s="145">
        <f t="shared" si="0"/>
        <v>22.385141739980448</v>
      </c>
      <c r="K6" s="145">
        <f>+K3/$B$3*100</f>
        <v>11.925708699902248</v>
      </c>
    </row>
    <row r="7" spans="1:11" ht="12.75">
      <c r="A7" t="s">
        <v>49</v>
      </c>
      <c r="B7" s="40">
        <f>+'Attività produttive'!B7</f>
        <v>100</v>
      </c>
      <c r="C7" s="40">
        <f>+'Attività produttive'!C7</f>
        <v>102.5</v>
      </c>
      <c r="D7" s="40">
        <f>+'Attività produttive'!D7</f>
        <v>105.2</v>
      </c>
      <c r="E7" s="40">
        <f>+'Attività produttive'!E7</f>
        <v>107.7</v>
      </c>
      <c r="F7" s="40">
        <f>+'Attività produttive'!F7</f>
        <v>109.8</v>
      </c>
      <c r="G7" s="40">
        <f>+'Attività produttive'!G7</f>
        <v>111.5</v>
      </c>
      <c r="H7" s="40">
        <f>+'Attività produttive'!H7</f>
        <v>113.1</v>
      </c>
      <c r="I7" s="40">
        <f>+'Attività produttive'!I7</f>
        <v>115.4</v>
      </c>
      <c r="J7" s="40">
        <f>+'Attività produttive'!J7</f>
        <v>117.5</v>
      </c>
      <c r="K7" s="40">
        <f>+'Attività produttive'!K7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3" sqref="E33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8" width="7.140625" style="0" bestFit="1" customWidth="1"/>
    <col min="9" max="11" width="8.140625" style="0" bestFit="1" customWidth="1"/>
  </cols>
  <sheetData>
    <row r="1" ht="12.75">
      <c r="A1" s="160" t="s">
        <v>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'!D10</f>
        <v>2</v>
      </c>
      <c r="C3" s="39">
        <f>+'Cons spec netti '!E10</f>
        <v>5</v>
      </c>
      <c r="D3" s="39">
        <f>+'Cons spec netti '!F10</f>
        <v>56</v>
      </c>
      <c r="E3" s="39">
        <f>+'Cons spec netti '!G10</f>
        <v>168</v>
      </c>
      <c r="F3" s="39">
        <f>+'Cons spec netti '!H10</f>
        <v>199</v>
      </c>
      <c r="G3" s="39">
        <f>+'Cons spec netti '!I10</f>
        <v>86</v>
      </c>
      <c r="H3" s="39">
        <f>+'Cons spec netti '!J10</f>
        <v>57</v>
      </c>
      <c r="I3" s="39">
        <f>+'Cons spec netti '!K10</f>
        <v>208</v>
      </c>
      <c r="J3" s="39">
        <f>+'Cons spec netti '!L10</f>
        <v>440</v>
      </c>
      <c r="K3" s="39">
        <f>+'Cons spec netti '!M10</f>
        <v>344</v>
      </c>
    </row>
    <row r="4" spans="1:11" ht="15" customHeight="1">
      <c r="A4" s="47" t="s">
        <v>52</v>
      </c>
      <c r="B4" s="39">
        <f>+'Cons spec tot e finalizzati'!E10</f>
        <v>0</v>
      </c>
      <c r="C4" s="29">
        <f>+'Cons spec tot e finalizzati'!G10</f>
        <v>0</v>
      </c>
      <c r="D4" s="41">
        <f>+'Cons spec tot e finalizzati'!I10</f>
        <v>0</v>
      </c>
      <c r="E4" s="41">
        <f>+'Cons spec tot e finalizzati'!K10</f>
        <v>0</v>
      </c>
      <c r="F4" s="41">
        <f>+'Cons spec tot e finalizzati'!M10</f>
        <v>0</v>
      </c>
      <c r="G4" s="41">
        <f>+'Cons spec tot e finalizzati'!O10</f>
        <v>0</v>
      </c>
      <c r="H4" s="41">
        <f>+'Cons spec tot e finalizzati'!Q10</f>
        <v>0</v>
      </c>
      <c r="I4" s="41">
        <f>+'Cons spec tot e finalizzati'!S10</f>
        <v>0</v>
      </c>
      <c r="J4" s="41">
        <f>+'Cons spec tot e finalizzati'!U10</f>
        <v>0</v>
      </c>
      <c r="K4" s="41">
        <f>+'Cons spec tot e finalizzati'!W10</f>
        <v>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>+C3/$B$3*100</f>
        <v>250</v>
      </c>
      <c r="D6" s="145">
        <f aca="true" t="shared" si="0" ref="D6:K6">+D3/$B$3*100</f>
        <v>2800</v>
      </c>
      <c r="E6" s="145">
        <f t="shared" si="0"/>
        <v>8400</v>
      </c>
      <c r="F6" s="145">
        <f t="shared" si="0"/>
        <v>9950</v>
      </c>
      <c r="G6" s="145">
        <f t="shared" si="0"/>
        <v>4300</v>
      </c>
      <c r="H6" s="145">
        <f t="shared" si="0"/>
        <v>2850</v>
      </c>
      <c r="I6" s="145">
        <f t="shared" si="0"/>
        <v>10400</v>
      </c>
      <c r="J6" s="145">
        <f t="shared" si="0"/>
        <v>22000</v>
      </c>
      <c r="K6" s="145">
        <f t="shared" si="0"/>
        <v>17200</v>
      </c>
    </row>
    <row r="7" spans="1:11" ht="12.75">
      <c r="A7" t="s">
        <v>49</v>
      </c>
      <c r="B7" s="40">
        <v>100</v>
      </c>
      <c r="C7" s="40">
        <v>102.5</v>
      </c>
      <c r="D7" s="40">
        <v>105.2</v>
      </c>
      <c r="E7" s="40">
        <v>107.7</v>
      </c>
      <c r="F7">
        <v>109.8</v>
      </c>
      <c r="G7" s="40">
        <v>111.5</v>
      </c>
      <c r="H7">
        <v>113.1</v>
      </c>
      <c r="I7">
        <v>115.4</v>
      </c>
      <c r="J7">
        <v>117.5</v>
      </c>
      <c r="K7"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1" sqref="F3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139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'!D131</f>
        <v>1559</v>
      </c>
      <c r="C3" s="39">
        <f>+'Cons spec netti '!E131</f>
        <v>2720.5</v>
      </c>
      <c r="D3" s="39">
        <f>+'Cons spec netti '!F131</f>
        <v>2095</v>
      </c>
      <c r="E3" s="39">
        <f>+'Cons spec netti '!G131</f>
        <v>3629</v>
      </c>
      <c r="F3" s="39">
        <f>+'Cons spec netti '!H131</f>
        <v>2242</v>
      </c>
      <c r="G3" s="39">
        <f>+'Cons spec netti '!I131</f>
        <v>1745</v>
      </c>
      <c r="H3" s="39">
        <f>+'Cons spec netti '!J131</f>
        <v>2805</v>
      </c>
      <c r="I3" s="39">
        <f>+'Cons spec netti '!K131</f>
        <v>2584</v>
      </c>
      <c r="J3" s="39">
        <f>+'Cons spec netti '!L131</f>
        <v>2894</v>
      </c>
      <c r="K3" s="39">
        <f>+'Cons spec netti '!M131</f>
        <v>3063</v>
      </c>
    </row>
    <row r="4" spans="1:11" ht="15" customHeight="1">
      <c r="A4" s="47" t="s">
        <v>52</v>
      </c>
      <c r="B4" s="39">
        <f>+'Cons spec tot e finalizzati'!E131</f>
        <v>0</v>
      </c>
      <c r="C4" s="39">
        <f>+'Cons spec tot e finalizzati'!G131</f>
        <v>580</v>
      </c>
      <c r="D4" s="41">
        <f>+'Cons spec tot e finalizzati'!I131</f>
        <v>0</v>
      </c>
      <c r="E4" s="41">
        <f>+'Cons spec tot e finalizzati'!K131</f>
        <v>137</v>
      </c>
      <c r="F4" s="41">
        <f>+'Cons spec tot e finalizzati'!M131</f>
        <v>1274</v>
      </c>
      <c r="G4" s="41">
        <f>+'Cons spec tot e finalizzati'!O131</f>
        <v>951</v>
      </c>
      <c r="H4" s="41">
        <f>+'Cons spec tot e finalizzati'!Q131</f>
        <v>40</v>
      </c>
      <c r="I4" s="41">
        <f>+'Cons spec tot e finalizzati'!S131</f>
        <v>139</v>
      </c>
      <c r="J4" s="41">
        <f>+'Cons spec tot e finalizzati'!U131</f>
        <v>4361</v>
      </c>
      <c r="K4" s="41">
        <f>+'Cons spec tot e finalizzati'!W131</f>
        <v>6706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174.50288646568313</v>
      </c>
      <c r="D6" s="145">
        <f t="shared" si="0"/>
        <v>134.3810134701732</v>
      </c>
      <c r="E6" s="145">
        <f t="shared" si="0"/>
        <v>232.77742142398972</v>
      </c>
      <c r="F6" s="145">
        <f t="shared" si="0"/>
        <v>143.81013470173187</v>
      </c>
      <c r="G6" s="145">
        <f t="shared" si="0"/>
        <v>111.93072482360486</v>
      </c>
      <c r="H6" s="145">
        <f t="shared" si="0"/>
        <v>179.9230275817832</v>
      </c>
      <c r="I6" s="145">
        <f t="shared" si="0"/>
        <v>165.74727389352148</v>
      </c>
      <c r="J6" s="145">
        <f t="shared" si="0"/>
        <v>185.63181526619627</v>
      </c>
      <c r="K6" s="145">
        <f>+K3/$B$3*100</f>
        <v>196.4720974983964</v>
      </c>
    </row>
    <row r="7" spans="1:11" ht="12.75">
      <c r="A7" t="s">
        <v>49</v>
      </c>
      <c r="B7" s="40">
        <f>+Territorio!B7</f>
        <v>100</v>
      </c>
      <c r="C7" s="40">
        <f>+Territorio!C7</f>
        <v>102.5</v>
      </c>
      <c r="D7" s="40">
        <f>+Territorio!D7</f>
        <v>105.2</v>
      </c>
      <c r="E7" s="40">
        <f>+Territorio!E7</f>
        <v>107.7</v>
      </c>
      <c r="F7" s="40">
        <f>+Territorio!F7</f>
        <v>109.8</v>
      </c>
      <c r="G7" s="40">
        <f>+Territorio!G7</f>
        <v>111.5</v>
      </c>
      <c r="H7" s="40">
        <f>+Territorio!H7</f>
        <v>113.1</v>
      </c>
      <c r="I7" s="40">
        <f>+Territorio!I7</f>
        <v>115.4</v>
      </c>
      <c r="J7" s="40">
        <f>+Territorio!J7</f>
        <v>117.5</v>
      </c>
      <c r="K7" s="40">
        <f>+Territorio!K7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30" sqref="D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'!D143</f>
        <v>553</v>
      </c>
      <c r="C3" s="39">
        <f>+'Cons spec netti '!E143</f>
        <v>963</v>
      </c>
      <c r="D3" s="39">
        <f>+'Cons spec netti '!F143</f>
        <v>974</v>
      </c>
      <c r="E3" s="39">
        <f>+'Cons spec netti '!G143</f>
        <v>64</v>
      </c>
      <c r="F3" s="39">
        <f>+'Cons spec netti '!H143</f>
        <v>34</v>
      </c>
      <c r="G3" s="39">
        <f>+'Cons spec netti '!I143</f>
        <v>168</v>
      </c>
      <c r="H3" s="39">
        <f>+'Cons spec netti '!J143</f>
        <v>99</v>
      </c>
      <c r="I3" s="39">
        <f>+'Cons spec netti '!K143</f>
        <v>85</v>
      </c>
      <c r="J3" s="39">
        <f>+'Cons spec netti '!L143</f>
        <v>322</v>
      </c>
      <c r="K3" s="39">
        <f>+'Cons spec netti '!M143</f>
        <v>317</v>
      </c>
    </row>
    <row r="4" spans="1:11" ht="15" customHeight="1">
      <c r="A4" s="47" t="s">
        <v>52</v>
      </c>
      <c r="B4" s="39">
        <f>+'Cons spec tot e finalizzati'!E143</f>
        <v>0</v>
      </c>
      <c r="C4" s="39">
        <f>+'Cons spec tot e finalizzati'!G143</f>
        <v>5268</v>
      </c>
      <c r="D4" s="41">
        <f>+'Cons spec tot e finalizzati'!I143</f>
        <v>4015</v>
      </c>
      <c r="E4" s="41">
        <f>+'Cons spec tot e finalizzati'!K143</f>
        <v>6210</v>
      </c>
      <c r="F4" s="41">
        <f>+'Cons spec tot e finalizzati'!M143</f>
        <v>4474</v>
      </c>
      <c r="G4" s="41">
        <f>+'Cons spec tot e finalizzati'!O143</f>
        <v>6772</v>
      </c>
      <c r="H4" s="41">
        <f>+'Cons spec tot e finalizzati'!Q143</f>
        <v>6342</v>
      </c>
      <c r="I4" s="41">
        <f>+'Cons spec tot e finalizzati'!S143</f>
        <v>4523</v>
      </c>
      <c r="J4" s="41">
        <f>+'Cons spec tot e finalizzati'!U143</f>
        <v>6168</v>
      </c>
      <c r="K4" s="41">
        <f>+'Cons spec tot e finalizzati'!W143</f>
        <v>5087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174.14104882459313</v>
      </c>
      <c r="D6" s="145">
        <f t="shared" si="0"/>
        <v>176.13019891500906</v>
      </c>
      <c r="E6" s="145">
        <f t="shared" si="0"/>
        <v>11.573236889692586</v>
      </c>
      <c r="F6" s="145">
        <f t="shared" si="0"/>
        <v>6.148282097649186</v>
      </c>
      <c r="G6" s="145">
        <f t="shared" si="0"/>
        <v>30.37974683544304</v>
      </c>
      <c r="H6" s="145">
        <f t="shared" si="0"/>
        <v>17.90235081374322</v>
      </c>
      <c r="I6" s="145">
        <f t="shared" si="0"/>
        <v>15.370705244122965</v>
      </c>
      <c r="J6" s="145">
        <f t="shared" si="0"/>
        <v>58.22784810126582</v>
      </c>
      <c r="K6" s="145">
        <f>+K3/$B$3*100</f>
        <v>57.32368896925859</v>
      </c>
    </row>
    <row r="7" spans="1:11" ht="12.75">
      <c r="A7" t="s">
        <v>49</v>
      </c>
      <c r="B7" s="40">
        <f>+Territorio!B7</f>
        <v>100</v>
      </c>
      <c r="C7" s="40">
        <f>+Territorio!C7</f>
        <v>102.5</v>
      </c>
      <c r="D7" s="40">
        <f>+Territorio!D7</f>
        <v>105.2</v>
      </c>
      <c r="E7" s="40">
        <f>+Territorio!E7</f>
        <v>107.7</v>
      </c>
      <c r="F7" s="40">
        <f>+Territorio!F7</f>
        <v>109.8</v>
      </c>
      <c r="G7" s="40">
        <f>+Territorio!G7</f>
        <v>111.5</v>
      </c>
      <c r="H7" s="40">
        <f>+Territorio!H7</f>
        <v>113.1</v>
      </c>
      <c r="I7" s="40">
        <f>+Territorio!I7</f>
        <v>115.4</v>
      </c>
      <c r="J7" s="40">
        <f>+Territorio!J7</f>
        <v>117.5</v>
      </c>
      <c r="K7" s="40">
        <f>+Territorio!K7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0" sqref="F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120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'!D144</f>
        <v>5299</v>
      </c>
      <c r="C3" s="39">
        <f>+'Cons spec netti '!E144</f>
        <v>4663</v>
      </c>
      <c r="D3" s="39">
        <f>+'Cons spec netti '!F144</f>
        <v>4467</v>
      </c>
      <c r="E3" s="39">
        <f>+'Cons spec netti '!G144</f>
        <v>5963</v>
      </c>
      <c r="F3" s="39">
        <f>+'Cons spec netti '!H144</f>
        <v>6525</v>
      </c>
      <c r="G3" s="39">
        <f>+'Cons spec netti '!I144</f>
        <v>6865</v>
      </c>
      <c r="H3" s="39">
        <f>+'Cons spec netti '!J144</f>
        <v>6856</v>
      </c>
      <c r="I3" s="39">
        <f>+'Cons spec netti '!K144</f>
        <v>6437</v>
      </c>
      <c r="J3" s="39">
        <f>+'Cons spec netti '!L144</f>
        <v>6887</v>
      </c>
      <c r="K3" s="39">
        <f>+'Cons spec netti '!M144</f>
        <v>6718</v>
      </c>
    </row>
    <row r="4" spans="1:11" ht="15" customHeight="1">
      <c r="A4" s="47" t="s">
        <v>52</v>
      </c>
      <c r="B4" s="39">
        <f>+'Cons spec tot e finalizzati'!E144</f>
        <v>444</v>
      </c>
      <c r="C4" s="39">
        <f>+'Cons spec tot e finalizzati'!G144</f>
        <v>1912</v>
      </c>
      <c r="D4" s="41">
        <f>+'Cons spec tot e finalizzati'!I144</f>
        <v>301</v>
      </c>
      <c r="E4" s="41">
        <f>+'Cons spec tot e finalizzati'!K144</f>
        <v>151</v>
      </c>
      <c r="F4" s="41">
        <f>+'Cons spec tot e finalizzati'!M144</f>
        <v>480</v>
      </c>
      <c r="G4" s="41">
        <f>+'Cons spec tot e finalizzati'!O144</f>
        <v>308</v>
      </c>
      <c r="H4" s="41">
        <f>+'Cons spec tot e finalizzati'!Q144</f>
        <v>632</v>
      </c>
      <c r="I4" s="41">
        <f>+'Cons spec tot e finalizzati'!S144</f>
        <v>698</v>
      </c>
      <c r="J4" s="41">
        <f>+'Cons spec tot e finalizzati'!U144</f>
        <v>799</v>
      </c>
      <c r="K4" s="41">
        <f>+'Cons spec tot e finalizzati'!W144</f>
        <v>725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87.99773542177769</v>
      </c>
      <c r="D6" s="145">
        <f t="shared" si="0"/>
        <v>84.2989243253444</v>
      </c>
      <c r="E6" s="145">
        <f t="shared" si="0"/>
        <v>112.53066616342706</v>
      </c>
      <c r="F6" s="145">
        <f t="shared" si="0"/>
        <v>123.13644083789394</v>
      </c>
      <c r="G6" s="145">
        <f t="shared" si="0"/>
        <v>129.55274580109455</v>
      </c>
      <c r="H6" s="145">
        <f t="shared" si="0"/>
        <v>129.3829024344216</v>
      </c>
      <c r="I6" s="145">
        <f t="shared" si="0"/>
        <v>121.47575014153614</v>
      </c>
      <c r="J6" s="145">
        <f t="shared" si="0"/>
        <v>129.967918475184</v>
      </c>
      <c r="K6" s="145">
        <f>+K3/$B$3*100</f>
        <v>126.77863747876958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121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'!D147</f>
        <v>275</v>
      </c>
      <c r="C3" s="39">
        <f>+'Cons spec netti '!E147</f>
        <v>285</v>
      </c>
      <c r="D3" s="39">
        <f>+'Cons spec netti '!F147</f>
        <v>198</v>
      </c>
      <c r="E3" s="39">
        <f>+'Cons spec netti '!G147</f>
        <v>512</v>
      </c>
      <c r="F3" s="39">
        <f>+'Cons spec netti '!H147</f>
        <v>690</v>
      </c>
      <c r="G3" s="39">
        <f>+'Cons spec netti '!I147</f>
        <v>531</v>
      </c>
      <c r="H3" s="39">
        <f>+'Cons spec netti '!J147</f>
        <v>364</v>
      </c>
      <c r="I3" s="39">
        <f>+'Cons spec netti '!K147</f>
        <v>187</v>
      </c>
      <c r="J3" s="39">
        <f>+'Cons spec netti '!L147</f>
        <v>154</v>
      </c>
      <c r="K3" s="39">
        <f>+'Cons spec netti '!M147</f>
        <v>146</v>
      </c>
    </row>
    <row r="4" spans="1:11" ht="15" customHeight="1">
      <c r="A4" s="47" t="s">
        <v>52</v>
      </c>
      <c r="B4" s="39">
        <f>+'Cons spec tot e finalizzati'!E147</f>
        <v>0</v>
      </c>
      <c r="C4" s="39">
        <f>+'Cons spec tot e finalizzati'!G147</f>
        <v>0</v>
      </c>
      <c r="D4" s="41">
        <f>+'Cons spec tot e finalizzati'!I147</f>
        <v>0</v>
      </c>
      <c r="E4" s="41">
        <f>+'Cons spec tot e finalizzati'!K147</f>
        <v>808</v>
      </c>
      <c r="F4" s="41">
        <f>+'Cons spec tot e finalizzati'!M147</f>
        <v>775</v>
      </c>
      <c r="G4" s="41">
        <f>+'Cons spec tot e finalizzati'!O147</f>
        <v>715</v>
      </c>
      <c r="H4" s="41">
        <f>+'Cons spec tot e finalizzati'!Q147</f>
        <v>765</v>
      </c>
      <c r="I4" s="41">
        <f>+'Cons spec tot e finalizzati'!S147</f>
        <v>755</v>
      </c>
      <c r="J4" s="41">
        <f>+'Cons spec tot e finalizzati'!U147</f>
        <v>785</v>
      </c>
      <c r="K4" s="41">
        <f>+'Cons spec tot e finalizzati'!W147</f>
        <v>713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103.63636363636364</v>
      </c>
      <c r="D6" s="145">
        <f t="shared" si="0"/>
        <v>72</v>
      </c>
      <c r="E6" s="145">
        <f t="shared" si="0"/>
        <v>186.1818181818182</v>
      </c>
      <c r="F6" s="145">
        <f t="shared" si="0"/>
        <v>250.90909090909093</v>
      </c>
      <c r="G6" s="145">
        <f t="shared" si="0"/>
        <v>193.0909090909091</v>
      </c>
      <c r="H6" s="145">
        <f t="shared" si="0"/>
        <v>132.36363636363637</v>
      </c>
      <c r="I6" s="145">
        <f t="shared" si="0"/>
        <v>68</v>
      </c>
      <c r="J6" s="145">
        <f t="shared" si="0"/>
        <v>56.00000000000001</v>
      </c>
      <c r="K6" s="145">
        <f>+K3/$B$3*100</f>
        <v>53.090909090909086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L30" sqref="L30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66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'!D152</f>
        <v>39049</v>
      </c>
      <c r="C3" s="39">
        <f>+'Cons spec netti '!E152</f>
        <v>42137.5</v>
      </c>
      <c r="D3" s="39">
        <f>+'Cons spec netti '!F152</f>
        <v>44669.89109473369</v>
      </c>
      <c r="E3" s="39">
        <f>+'Cons spec netti '!G152</f>
        <v>46267</v>
      </c>
      <c r="F3" s="39">
        <f>+'Cons spec netti '!H152</f>
        <v>49618</v>
      </c>
      <c r="G3" s="39">
        <f>+'Cons spec netti '!I152</f>
        <v>55202</v>
      </c>
      <c r="H3" s="39">
        <f>+'Cons spec netti '!J152</f>
        <v>54115</v>
      </c>
      <c r="I3" s="39">
        <f>+'Cons spec netti '!K152</f>
        <v>58442</v>
      </c>
      <c r="J3" s="39">
        <f>+'Cons spec netti '!L152</f>
        <v>59552</v>
      </c>
      <c r="K3" s="39">
        <f>+'Cons spec netti '!M152</f>
        <v>61762</v>
      </c>
    </row>
    <row r="4" spans="1:11" ht="15" customHeight="1">
      <c r="A4" s="47" t="s">
        <v>52</v>
      </c>
      <c r="B4" s="39">
        <f>+'Cons spec tot e finalizzati'!E152</f>
        <v>1513</v>
      </c>
      <c r="C4" s="39">
        <f>+'Cons spec tot e finalizzati'!G152</f>
        <v>2776</v>
      </c>
      <c r="D4" s="41">
        <f>+'Cons spec tot e finalizzati'!I152</f>
        <v>1831.108905266311</v>
      </c>
      <c r="E4" s="41">
        <f>+'Cons spec tot e finalizzati'!K152</f>
        <v>3986</v>
      </c>
      <c r="F4" s="41">
        <f>+'Cons spec tot e finalizzati'!M152</f>
        <v>6041</v>
      </c>
      <c r="G4" s="41">
        <f>+'Cons spec tot e finalizzati'!O152</f>
        <v>9284</v>
      </c>
      <c r="H4" s="41">
        <f>+'Cons spec tot e finalizzati'!Q152</f>
        <v>8177</v>
      </c>
      <c r="I4" s="41">
        <f>+'Cons spec tot e finalizzati'!S152</f>
        <v>5338</v>
      </c>
      <c r="J4" s="41">
        <f>+'Cons spec tot e finalizzati'!U152</f>
        <v>7061</v>
      </c>
      <c r="K4" s="41">
        <f>+'Cons spec tot e finalizzati'!W152</f>
        <v>7679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107.90929345181695</v>
      </c>
      <c r="D6" s="145">
        <f t="shared" si="0"/>
        <v>114.39445592648644</v>
      </c>
      <c r="E6" s="145">
        <f t="shared" si="0"/>
        <v>118.48446823222105</v>
      </c>
      <c r="F6" s="145">
        <f t="shared" si="0"/>
        <v>127.065994007529</v>
      </c>
      <c r="G6" s="145">
        <f t="shared" si="0"/>
        <v>141.3659760813337</v>
      </c>
      <c r="H6" s="145">
        <f t="shared" si="0"/>
        <v>138.5822940408205</v>
      </c>
      <c r="I6" s="145">
        <f t="shared" si="0"/>
        <v>149.66324361699404</v>
      </c>
      <c r="J6" s="145">
        <f t="shared" si="0"/>
        <v>152.50582601347026</v>
      </c>
      <c r="K6" s="145">
        <f>+K3/$B$3*100</f>
        <v>158.165381956004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1" sqref="F31"/>
    </sheetView>
  </sheetViews>
  <sheetFormatPr defaultColWidth="9.140625" defaultRowHeight="12.75"/>
  <cols>
    <col min="1" max="1" width="24.8515625" style="0" bestFit="1" customWidth="1"/>
    <col min="2" max="11" width="7.7109375" style="0" bestFit="1" customWidth="1"/>
  </cols>
  <sheetData>
    <row r="1" ht="12.75">
      <c r="A1" s="160" t="s">
        <v>146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'!D153</f>
        <v>13790</v>
      </c>
      <c r="C3" s="39">
        <f>+'Cons spec netti '!E153</f>
        <v>15265</v>
      </c>
      <c r="D3" s="39">
        <f>+'Cons spec netti '!F153</f>
        <v>16062</v>
      </c>
      <c r="E3" s="39">
        <f>+'Cons spec netti '!G153</f>
        <v>16185</v>
      </c>
      <c r="F3" s="39">
        <f>+'Cons spec netti '!H153</f>
        <v>17505</v>
      </c>
      <c r="G3" s="39">
        <f>+'Cons spec netti '!I153</f>
        <v>22814</v>
      </c>
      <c r="H3" s="39">
        <f>+'Cons spec netti '!J153</f>
        <v>20038</v>
      </c>
      <c r="I3" s="39">
        <f>+'Cons spec netti '!K153</f>
        <v>23586</v>
      </c>
      <c r="J3" s="39">
        <f>+'Cons spec netti '!L153</f>
        <v>23183</v>
      </c>
      <c r="K3" s="39">
        <f>+'Cons spec netti '!M153</f>
        <v>24139</v>
      </c>
    </row>
    <row r="4" spans="1:11" ht="15" customHeight="1">
      <c r="A4" s="47" t="s">
        <v>52</v>
      </c>
      <c r="B4" s="41">
        <f>+'Cons spec tot e finalizzati'!E153</f>
        <v>1492</v>
      </c>
      <c r="C4" s="41">
        <f>+'Cons spec tot e finalizzati'!G153</f>
        <v>2171</v>
      </c>
      <c r="D4" s="41">
        <f>+'Cons spec tot e finalizzati'!I153</f>
        <v>1812</v>
      </c>
      <c r="E4" s="41">
        <f>+'Cons spec tot e finalizzati'!K153</f>
        <v>3955</v>
      </c>
      <c r="F4" s="41">
        <f>+'Cons spec tot e finalizzati'!M153</f>
        <v>6023</v>
      </c>
      <c r="G4" s="41">
        <f>+'Cons spec tot e finalizzati'!O153</f>
        <v>9262</v>
      </c>
      <c r="H4" s="41">
        <f>+'Cons spec tot e finalizzati'!Q153</f>
        <v>8079</v>
      </c>
      <c r="I4" s="41">
        <f>+'Cons spec tot e finalizzati'!S153</f>
        <v>5056</v>
      </c>
      <c r="J4" s="41">
        <f>+'Cons spec tot e finalizzati'!U153</f>
        <v>6070</v>
      </c>
      <c r="K4" s="41">
        <f>+'Cons spec tot e finalizzati'!W153</f>
        <v>6326</v>
      </c>
    </row>
    <row r="6" spans="1:11" ht="12.75">
      <c r="A6" t="s">
        <v>53</v>
      </c>
      <c r="B6" s="145">
        <v>100</v>
      </c>
      <c r="C6" s="145">
        <f aca="true" t="shared" si="0" ref="C6:J6">+C3/$B$3*100</f>
        <v>110.69615663524293</v>
      </c>
      <c r="D6" s="145">
        <f t="shared" si="0"/>
        <v>116.47570703408267</v>
      </c>
      <c r="E6" s="145">
        <f t="shared" si="0"/>
        <v>117.36765772298767</v>
      </c>
      <c r="F6" s="145">
        <f t="shared" si="0"/>
        <v>126.93981145757796</v>
      </c>
      <c r="G6" s="145">
        <f t="shared" si="0"/>
        <v>165.43872371283538</v>
      </c>
      <c r="H6" s="145">
        <f t="shared" si="0"/>
        <v>145.30819434372734</v>
      </c>
      <c r="I6" s="145">
        <f t="shared" si="0"/>
        <v>171.03698332124728</v>
      </c>
      <c r="J6" s="145">
        <f t="shared" si="0"/>
        <v>168.1145757795504</v>
      </c>
      <c r="K6" s="145">
        <f>+K3/$B$3*100</f>
        <v>175.04713560551124</v>
      </c>
    </row>
    <row r="7" spans="1:11" ht="12.75">
      <c r="A7" t="s">
        <v>49</v>
      </c>
      <c r="B7" s="40">
        <f>+Legale!B7</f>
        <v>100</v>
      </c>
      <c r="C7" s="40">
        <f>+Legale!C7</f>
        <v>102.5</v>
      </c>
      <c r="D7" s="40">
        <f>+Legale!D7</f>
        <v>105.2</v>
      </c>
      <c r="E7" s="40">
        <f>+Legale!E7</f>
        <v>107.7</v>
      </c>
      <c r="F7" s="40">
        <f>+Legale!F7</f>
        <v>109.8</v>
      </c>
      <c r="G7" s="40">
        <f>+Legale!G7</f>
        <v>111.5</v>
      </c>
      <c r="H7" s="40">
        <f>+Legale!H7</f>
        <v>113.1</v>
      </c>
      <c r="I7" s="40">
        <f>+Legale!I7</f>
        <v>115.4</v>
      </c>
      <c r="J7" s="40">
        <f>+Legale!J7</f>
        <v>117.5</v>
      </c>
      <c r="K7" s="40">
        <f>+Legale!K7</f>
        <v>121.1</v>
      </c>
    </row>
    <row r="29" ht="12.75">
      <c r="A29" s="154" t="s">
        <v>167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31" sqref="D3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32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'!D165</f>
        <v>1496</v>
      </c>
      <c r="C3" s="39">
        <f>+'Cons spec netti '!E165</f>
        <v>1577</v>
      </c>
      <c r="D3" s="39">
        <f>+'Cons spec netti '!F165</f>
        <v>1657</v>
      </c>
      <c r="E3" s="39">
        <f>+'Cons spec netti '!G165</f>
        <v>1762</v>
      </c>
      <c r="F3" s="39">
        <f>+'Cons spec netti '!H165</f>
        <v>1864</v>
      </c>
      <c r="G3" s="39">
        <f>+'Cons spec netti '!I165</f>
        <v>1893</v>
      </c>
      <c r="H3" s="39">
        <f>+'Cons spec netti '!J165</f>
        <v>2163</v>
      </c>
      <c r="I3" s="39">
        <f>+'Cons spec netti '!K165</f>
        <v>2154</v>
      </c>
      <c r="J3" s="39">
        <f>+'Cons spec netti '!L165</f>
        <v>2183</v>
      </c>
      <c r="K3" s="39">
        <f>+'Cons spec netti '!M165</f>
        <v>2217</v>
      </c>
    </row>
    <row r="4" spans="1:11" ht="15" customHeight="1">
      <c r="A4" s="47" t="s">
        <v>52</v>
      </c>
      <c r="B4" s="39">
        <f>+'Cons spec tot e finalizzati'!E165</f>
        <v>0</v>
      </c>
      <c r="C4" s="39">
        <f>+'Cons spec tot e finalizzati'!G165</f>
        <v>0</v>
      </c>
      <c r="D4" s="41">
        <f>+'Cons spec tot e finalizzati'!I165</f>
        <v>0</v>
      </c>
      <c r="E4" s="41">
        <f>+'Cons spec tot e finalizzati'!K165</f>
        <v>0</v>
      </c>
      <c r="F4" s="41">
        <f>+'Cons spec tot e finalizzati'!M165</f>
        <v>0</v>
      </c>
      <c r="G4" s="41">
        <f>+'Cons spec tot e finalizzati'!O165</f>
        <v>0</v>
      </c>
      <c r="H4" s="41">
        <f>+'Cons spec tot e finalizzati'!Q165</f>
        <v>0</v>
      </c>
      <c r="I4" s="41">
        <f>+'Cons spec tot e finalizzati'!S165</f>
        <v>30</v>
      </c>
      <c r="J4" s="41">
        <f>+'Cons spec tot e finalizzati'!U165</f>
        <v>27</v>
      </c>
      <c r="K4" s="41">
        <f>+'Cons spec tot e finalizzati'!W165</f>
        <v>247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105.4144385026738</v>
      </c>
      <c r="D6" s="145">
        <f t="shared" si="0"/>
        <v>110.7620320855615</v>
      </c>
      <c r="E6" s="145">
        <f t="shared" si="0"/>
        <v>117.7807486631016</v>
      </c>
      <c r="F6" s="145">
        <f t="shared" si="0"/>
        <v>124.59893048128343</v>
      </c>
      <c r="G6" s="145">
        <f t="shared" si="0"/>
        <v>126.53743315508021</v>
      </c>
      <c r="H6" s="145">
        <f t="shared" si="0"/>
        <v>144.5855614973262</v>
      </c>
      <c r="I6" s="145">
        <f t="shared" si="0"/>
        <v>143.98395721925135</v>
      </c>
      <c r="J6" s="145">
        <f t="shared" si="0"/>
        <v>145.92245989304814</v>
      </c>
      <c r="K6" s="145">
        <f>+K3/$B$3*100</f>
        <v>148.1951871657754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37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'!D173</f>
        <v>4133</v>
      </c>
      <c r="C3" s="39">
        <f>+'Cons spec netti '!E173</f>
        <v>4395</v>
      </c>
      <c r="D3" s="39">
        <f>+'Cons spec netti '!F173</f>
        <v>4774.384801706374</v>
      </c>
      <c r="E3" s="39">
        <f>+'Cons spec netti '!G173</f>
        <v>5164</v>
      </c>
      <c r="F3" s="39">
        <f>+'Cons spec netti '!H173</f>
        <v>5396</v>
      </c>
      <c r="G3" s="39">
        <f>+'Cons spec netti '!I173</f>
        <v>5352</v>
      </c>
      <c r="H3" s="39">
        <f>+'Cons spec netti '!J173</f>
        <v>5796</v>
      </c>
      <c r="I3" s="39">
        <f>+'Cons spec netti '!K173</f>
        <v>6179</v>
      </c>
      <c r="J3" s="39">
        <f>+'Cons spec netti '!L173</f>
        <v>6288</v>
      </c>
      <c r="K3" s="39">
        <f>+'Cons spec netti '!M173</f>
        <v>6581</v>
      </c>
    </row>
    <row r="4" spans="1:11" ht="15" customHeight="1">
      <c r="A4" s="47" t="s">
        <v>52</v>
      </c>
      <c r="B4" s="39">
        <f>+'Cons spec tot e finalizzati'!E173</f>
        <v>0</v>
      </c>
      <c r="C4" s="39">
        <f>+'Cons spec tot e finalizzati'!G173</f>
        <v>53</v>
      </c>
      <c r="D4" s="41">
        <f>+'Cons spec tot e finalizzati'!I173</f>
        <v>3.6151982936264053</v>
      </c>
      <c r="E4" s="41">
        <f>+'Cons spec tot e finalizzati'!K173</f>
        <v>0</v>
      </c>
      <c r="F4" s="41">
        <f>+'Cons spec tot e finalizzati'!M173</f>
        <v>4</v>
      </c>
      <c r="G4" s="41">
        <f>+'Cons spec tot e finalizzati'!O173</f>
        <v>2</v>
      </c>
      <c r="H4" s="41">
        <f>+'Cons spec tot e finalizzati'!Q173</f>
        <v>4</v>
      </c>
      <c r="I4" s="41">
        <f>+'Cons spec tot e finalizzati'!S173</f>
        <v>100</v>
      </c>
      <c r="J4" s="41">
        <f>+'Cons spec tot e finalizzati'!U173</f>
        <v>84</v>
      </c>
      <c r="K4" s="41">
        <f>+'Cons spec tot e finalizzati'!W173</f>
        <v>176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106.33922090491168</v>
      </c>
      <c r="D6" s="145">
        <f t="shared" si="0"/>
        <v>115.51862573690718</v>
      </c>
      <c r="E6" s="145">
        <f t="shared" si="0"/>
        <v>124.94556012581658</v>
      </c>
      <c r="F6" s="145">
        <f t="shared" si="0"/>
        <v>130.55891604161627</v>
      </c>
      <c r="G6" s="145">
        <f t="shared" si="0"/>
        <v>129.49431405758529</v>
      </c>
      <c r="H6" s="145">
        <f t="shared" si="0"/>
        <v>140.23711589644324</v>
      </c>
      <c r="I6" s="145">
        <f t="shared" si="0"/>
        <v>149.5039922574401</v>
      </c>
      <c r="J6" s="145">
        <f t="shared" si="0"/>
        <v>152.14130171788048</v>
      </c>
      <c r="K6" s="145">
        <f>+K3/$B$3*100</f>
        <v>159.23058311154125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38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'!D181</f>
        <v>2523</v>
      </c>
      <c r="C3" s="39">
        <f>+'Cons spec netti '!E181</f>
        <v>2656</v>
      </c>
      <c r="D3" s="39">
        <f>+'Cons spec netti '!F181</f>
        <v>2762</v>
      </c>
      <c r="E3" s="39">
        <f>+'Cons spec netti '!G181</f>
        <v>2844</v>
      </c>
      <c r="F3" s="39">
        <f>+'Cons spec netti '!H181</f>
        <v>3230</v>
      </c>
      <c r="G3" s="39">
        <f>+'Cons spec netti '!I181</f>
        <v>3343</v>
      </c>
      <c r="H3" s="39">
        <f>+'Cons spec netti '!J181</f>
        <v>3403</v>
      </c>
      <c r="I3" s="39">
        <f>+'Cons spec netti '!K181</f>
        <v>3478</v>
      </c>
      <c r="J3" s="39">
        <f>+'Cons spec netti '!L181</f>
        <v>3842</v>
      </c>
      <c r="K3" s="39">
        <f>+'Cons spec netti '!M181</f>
        <v>3868</v>
      </c>
    </row>
    <row r="4" spans="1:11" ht="15" customHeight="1">
      <c r="A4" s="47" t="s">
        <v>52</v>
      </c>
      <c r="B4" s="39">
        <f>+'Cons spec tot e finalizzati'!E181</f>
        <v>0</v>
      </c>
      <c r="C4" s="39">
        <f>+'Cons spec tot e finalizzati'!G181</f>
        <v>0</v>
      </c>
      <c r="D4" s="41">
        <f>+'Cons spec tot e finalizzati'!I181</f>
        <v>0</v>
      </c>
      <c r="E4" s="41">
        <f>+'Cons spec tot e finalizzati'!K181</f>
        <v>0</v>
      </c>
      <c r="F4" s="41">
        <f>+'Cons spec tot e finalizzati'!M181</f>
        <v>0</v>
      </c>
      <c r="G4" s="41">
        <f>+'Cons spec tot e finalizzati'!O181</f>
        <v>0</v>
      </c>
      <c r="H4" s="41">
        <f>+'Cons spec tot e finalizzati'!Q181</f>
        <v>0</v>
      </c>
      <c r="I4" s="41">
        <f>+'Cons spec tot e finalizzati'!S181</f>
        <v>0</v>
      </c>
      <c r="J4" s="41">
        <f>+'Cons spec tot e finalizzati'!U181</f>
        <v>56</v>
      </c>
      <c r="K4" s="41">
        <f>+'Cons spec tot e finalizzati'!W181</f>
        <v>77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105.27150217994452</v>
      </c>
      <c r="D6" s="145">
        <f t="shared" si="0"/>
        <v>109.47284978200555</v>
      </c>
      <c r="E6" s="145">
        <f t="shared" si="0"/>
        <v>112.72294887039239</v>
      </c>
      <c r="F6" s="145">
        <f t="shared" si="0"/>
        <v>128.0221957986524</v>
      </c>
      <c r="G6" s="145">
        <f t="shared" si="0"/>
        <v>132.5009908838684</v>
      </c>
      <c r="H6" s="145">
        <f t="shared" si="0"/>
        <v>134.8791121680539</v>
      </c>
      <c r="I6" s="145">
        <f t="shared" si="0"/>
        <v>137.85176377328577</v>
      </c>
      <c r="J6" s="145">
        <f t="shared" si="0"/>
        <v>152.27903289734442</v>
      </c>
      <c r="K6" s="145">
        <f>+K3/$B$3*100</f>
        <v>153.30955212049147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39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'!D189</f>
        <v>2061</v>
      </c>
      <c r="C3" s="39">
        <f>+'Cons spec netti '!E189</f>
        <v>2175</v>
      </c>
      <c r="D3" s="39">
        <f>+'Cons spec netti '!F189</f>
        <v>2364</v>
      </c>
      <c r="E3" s="39">
        <f>+'Cons spec netti '!G189</f>
        <v>2542</v>
      </c>
      <c r="F3" s="39">
        <f>+'Cons spec netti '!H189</f>
        <v>2821</v>
      </c>
      <c r="G3" s="39">
        <f>+'Cons spec netti '!I189</f>
        <v>2964</v>
      </c>
      <c r="H3" s="39">
        <f>+'Cons spec netti '!J189</f>
        <v>3120</v>
      </c>
      <c r="I3" s="39">
        <f>+'Cons spec netti '!K189</f>
        <v>3147</v>
      </c>
      <c r="J3" s="39">
        <f>+'Cons spec netti '!L189</f>
        <v>3251</v>
      </c>
      <c r="K3" s="39">
        <f>+'Cons spec netti '!M189</f>
        <v>3174</v>
      </c>
    </row>
    <row r="4" spans="1:11" ht="15" customHeight="1">
      <c r="A4" s="47" t="s">
        <v>52</v>
      </c>
      <c r="B4" s="39">
        <f>+'Cons spec tot e finalizzati'!E189</f>
        <v>0</v>
      </c>
      <c r="C4" s="39">
        <f>+'Cons spec tot e finalizzati'!G189</f>
        <v>15</v>
      </c>
      <c r="D4" s="41">
        <f>+'Cons spec tot e finalizzati'!I189</f>
        <v>0</v>
      </c>
      <c r="E4" s="41">
        <f>+'Cons spec tot e finalizzati'!K189</f>
        <v>26</v>
      </c>
      <c r="F4" s="41">
        <f>+'Cons spec tot e finalizzati'!M189</f>
        <v>10</v>
      </c>
      <c r="G4" s="41">
        <f>+'Cons spec tot e finalizzati'!O189</f>
        <v>0</v>
      </c>
      <c r="H4" s="41">
        <f>+'Cons spec tot e finalizzati'!Q189</f>
        <v>90</v>
      </c>
      <c r="I4" s="41">
        <f>+'Cons spec tot e finalizzati'!S189</f>
        <v>80</v>
      </c>
      <c r="J4" s="41">
        <f>+'Cons spec tot e finalizzati'!U189</f>
        <v>35</v>
      </c>
      <c r="K4" s="41">
        <f>+'Cons spec tot e finalizzati'!W189</f>
        <v>41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105.53129548762736</v>
      </c>
      <c r="D6" s="145">
        <f t="shared" si="0"/>
        <v>114.70160116448326</v>
      </c>
      <c r="E6" s="145">
        <f t="shared" si="0"/>
        <v>123.33818534691896</v>
      </c>
      <c r="F6" s="145">
        <f t="shared" si="0"/>
        <v>136.8753032508491</v>
      </c>
      <c r="G6" s="145">
        <f t="shared" si="0"/>
        <v>143.8136826783115</v>
      </c>
      <c r="H6" s="145">
        <f t="shared" si="0"/>
        <v>151.38282387190685</v>
      </c>
      <c r="I6" s="145">
        <f t="shared" si="0"/>
        <v>152.6928675400291</v>
      </c>
      <c r="J6" s="145">
        <f t="shared" si="0"/>
        <v>157.73896166909267</v>
      </c>
      <c r="K6" s="145">
        <f>+K3/$B$3*100</f>
        <v>154.00291120815137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F31" sqref="F3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158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'!D12</f>
        <v>2308</v>
      </c>
      <c r="C3" s="39">
        <f>+'Cons spec netti '!E12</f>
        <v>2278</v>
      </c>
      <c r="D3" s="39">
        <f>+'Cons spec netti '!F12</f>
        <v>3690</v>
      </c>
      <c r="E3" s="39">
        <f>+'Cons spec netti '!G12</f>
        <v>3790</v>
      </c>
      <c r="F3" s="39">
        <f>+'Cons spec netti '!H12</f>
        <v>3404</v>
      </c>
      <c r="G3" s="39">
        <f>+'Cons spec netti '!I12</f>
        <v>3183</v>
      </c>
      <c r="H3" s="39">
        <f>+'Cons spec netti '!J12</f>
        <v>2843</v>
      </c>
      <c r="I3" s="39">
        <f>+'Cons spec netti '!K12</f>
        <v>1704</v>
      </c>
      <c r="J3" s="39">
        <f>+'Cons spec netti '!L12</f>
        <v>1980</v>
      </c>
      <c r="K3" s="39">
        <f>+'Cons spec netti '!M12</f>
        <v>1929</v>
      </c>
    </row>
    <row r="4" spans="1:11" ht="15" customHeight="1">
      <c r="A4" s="47" t="s">
        <v>52</v>
      </c>
      <c r="B4" s="39">
        <f>+'Cons spec tot e finalizzati'!E12</f>
        <v>1708</v>
      </c>
      <c r="C4" s="29">
        <f>+'Cons spec tot e finalizzati'!G12</f>
        <v>2047</v>
      </c>
      <c r="D4" s="41">
        <f>+'Cons spec tot e finalizzati'!I12</f>
        <v>1561</v>
      </c>
      <c r="E4" s="41">
        <f>+'Cons spec tot e finalizzati'!K12</f>
        <v>1581</v>
      </c>
      <c r="F4" s="41">
        <f>+'Cons spec tot e finalizzati'!M12</f>
        <v>1149</v>
      </c>
      <c r="G4" s="41">
        <f>+'Cons spec tot e finalizzati'!O12</f>
        <v>1829</v>
      </c>
      <c r="H4" s="41">
        <f>+'Cons spec tot e finalizzati'!Q12</f>
        <v>3761</v>
      </c>
      <c r="I4" s="41">
        <f>+'Cons spec tot e finalizzati'!S12</f>
        <v>252</v>
      </c>
      <c r="J4" s="41">
        <f>+'Cons spec tot e finalizzati'!U12</f>
        <v>115</v>
      </c>
      <c r="K4" s="41">
        <f>+'Cons spec tot e finalizzati'!W12</f>
        <v>298</v>
      </c>
    </row>
    <row r="5" spans="2:3" ht="12.75">
      <c r="B5" s="39"/>
      <c r="C5" s="4"/>
    </row>
    <row r="6" spans="1:11" ht="12.75">
      <c r="A6" t="s">
        <v>53</v>
      </c>
      <c r="B6" s="144">
        <v>100</v>
      </c>
      <c r="C6" s="145">
        <f>+C3/$B$3*100</f>
        <v>98.70017331022531</v>
      </c>
      <c r="D6" s="145">
        <f>+D3/$B$3*100</f>
        <v>159.8786828422877</v>
      </c>
      <c r="E6" s="145">
        <f aca="true" t="shared" si="0" ref="E6:J6">+E3/$B$3*100</f>
        <v>164.21143847487002</v>
      </c>
      <c r="F6" s="145">
        <f t="shared" si="0"/>
        <v>147.48700173310226</v>
      </c>
      <c r="G6" s="145">
        <f t="shared" si="0"/>
        <v>137.91161178509532</v>
      </c>
      <c r="H6" s="145">
        <f t="shared" si="0"/>
        <v>123.18024263431542</v>
      </c>
      <c r="I6" s="145">
        <f t="shared" si="0"/>
        <v>73.83015597920277</v>
      </c>
      <c r="J6" s="145">
        <f t="shared" si="0"/>
        <v>85.78856152512998</v>
      </c>
      <c r="K6" s="145">
        <f>+K3/$B$3*100</f>
        <v>83.578856152513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164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'!D197</f>
        <v>2143</v>
      </c>
      <c r="C3" s="39">
        <f>+'Cons spec netti '!E197</f>
        <v>2288</v>
      </c>
      <c r="D3" s="39">
        <f>+'Cons spec netti '!F197</f>
        <v>2609</v>
      </c>
      <c r="E3" s="39">
        <f>+'Cons spec netti '!G197</f>
        <v>2694</v>
      </c>
      <c r="F3" s="39">
        <f>+'Cons spec netti '!H197</f>
        <v>2995</v>
      </c>
      <c r="G3" s="39">
        <f>+'Cons spec netti '!I197</f>
        <v>2996</v>
      </c>
      <c r="H3" s="39">
        <f>+'Cons spec netti '!J197</f>
        <v>3188</v>
      </c>
      <c r="I3" s="39">
        <f>+'Cons spec netti '!K197</f>
        <v>3168</v>
      </c>
      <c r="J3" s="39">
        <f>+'Cons spec netti '!L197</f>
        <v>3136</v>
      </c>
      <c r="K3" s="39">
        <f>+'Cons spec netti '!M197</f>
        <v>3291</v>
      </c>
    </row>
    <row r="4" spans="1:11" ht="15" customHeight="1">
      <c r="A4" s="47" t="s">
        <v>52</v>
      </c>
      <c r="B4" s="39">
        <f>+'Cons spec tot e finalizzati'!E197</f>
        <v>21</v>
      </c>
      <c r="C4" s="39">
        <f>+'Cons spec tot e finalizzati'!G197</f>
        <v>480</v>
      </c>
      <c r="D4" s="41">
        <f>+'Cons spec tot e finalizzati'!I197</f>
        <v>0</v>
      </c>
      <c r="E4" s="41">
        <f>+'Cons spec tot e finalizzati'!K197</f>
        <v>0</v>
      </c>
      <c r="F4" s="41">
        <f>+'Cons spec tot e finalizzati'!M197</f>
        <v>4</v>
      </c>
      <c r="G4" s="41">
        <f>+'Cons spec tot e finalizzati'!O197</f>
        <v>5</v>
      </c>
      <c r="H4" s="41">
        <f>+'Cons spec tot e finalizzati'!Q197</f>
        <v>2</v>
      </c>
      <c r="I4" s="41">
        <f>+'Cons spec tot e finalizzati'!S197</f>
        <v>1</v>
      </c>
      <c r="J4" s="41">
        <f>+'Cons spec tot e finalizzati'!U197</f>
        <v>151</v>
      </c>
      <c r="K4" s="41">
        <f>+'Cons spec tot e finalizzati'!W197</f>
        <v>221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106.76621558562762</v>
      </c>
      <c r="D6" s="145">
        <f t="shared" si="0"/>
        <v>121.74521698553428</v>
      </c>
      <c r="E6" s="145">
        <f t="shared" si="0"/>
        <v>125.71161922538498</v>
      </c>
      <c r="F6" s="145">
        <f t="shared" si="0"/>
        <v>139.75734951003267</v>
      </c>
      <c r="G6" s="145">
        <f t="shared" si="0"/>
        <v>139.80401306579563</v>
      </c>
      <c r="H6" s="145">
        <f t="shared" si="0"/>
        <v>148.76341577228186</v>
      </c>
      <c r="I6" s="145">
        <f t="shared" si="0"/>
        <v>147.83014465702286</v>
      </c>
      <c r="J6" s="145">
        <f t="shared" si="0"/>
        <v>146.33691087260848</v>
      </c>
      <c r="K6" s="145">
        <f>+K3/$B$3*100</f>
        <v>153.56976201586562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165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'!D205</f>
        <v>3149</v>
      </c>
      <c r="C3" s="39">
        <f>+'Cons spec netti '!E205</f>
        <v>3287</v>
      </c>
      <c r="D3" s="39">
        <f>+'Cons spec netti '!F205</f>
        <v>3312</v>
      </c>
      <c r="E3" s="39">
        <f>+'Cons spec netti '!G205</f>
        <v>3424</v>
      </c>
      <c r="F3" s="39">
        <f>+'Cons spec netti '!H205</f>
        <v>3530</v>
      </c>
      <c r="G3" s="39">
        <f>+'Cons spec netti '!I205</f>
        <v>3386</v>
      </c>
      <c r="H3" s="39">
        <f>+'Cons spec netti '!J205</f>
        <v>3492</v>
      </c>
      <c r="I3" s="39">
        <f>+'Cons spec netti '!K205</f>
        <v>3382</v>
      </c>
      <c r="J3" s="39">
        <f>+'Cons spec netti '!L205</f>
        <v>3635</v>
      </c>
      <c r="K3" s="39">
        <f>+'Cons spec netti '!M205</f>
        <v>3879</v>
      </c>
    </row>
    <row r="4" spans="1:11" ht="15" customHeight="1">
      <c r="A4" s="47" t="s">
        <v>52</v>
      </c>
      <c r="B4" s="39">
        <f>+'Cons spec tot e finalizzati'!E205</f>
        <v>0</v>
      </c>
      <c r="C4" s="39">
        <f>+'Cons spec tot e finalizzati'!G205</f>
        <v>0</v>
      </c>
      <c r="D4" s="41">
        <f>+'Cons spec tot e finalizzati'!I205</f>
        <v>0</v>
      </c>
      <c r="E4" s="41">
        <f>+'Cons spec tot e finalizzati'!K205</f>
        <v>0</v>
      </c>
      <c r="F4" s="41">
        <f>+'Cons spec tot e finalizzati'!M205</f>
        <v>0</v>
      </c>
      <c r="G4" s="41">
        <f>+'Cons spec tot e finalizzati'!O205</f>
        <v>0</v>
      </c>
      <c r="H4" s="41">
        <f>+'Cons spec tot e finalizzati'!Q205</f>
        <v>0</v>
      </c>
      <c r="I4" s="41">
        <f>+'Cons spec tot e finalizzati'!S205</f>
        <v>12</v>
      </c>
      <c r="J4" s="41">
        <f>+'Cons spec tot e finalizzati'!U205</f>
        <v>79</v>
      </c>
      <c r="K4" s="41">
        <f>+'Cons spec tot e finalizzati'!W205</f>
        <v>210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104.38234360114322</v>
      </c>
      <c r="D6" s="145">
        <f t="shared" si="0"/>
        <v>105.17624642743728</v>
      </c>
      <c r="E6" s="145">
        <f t="shared" si="0"/>
        <v>108.73293108923467</v>
      </c>
      <c r="F6" s="145">
        <f t="shared" si="0"/>
        <v>112.0990790727215</v>
      </c>
      <c r="G6" s="145">
        <f t="shared" si="0"/>
        <v>107.5261987932677</v>
      </c>
      <c r="H6" s="145">
        <f t="shared" si="0"/>
        <v>110.89234677675452</v>
      </c>
      <c r="I6" s="145">
        <f t="shared" si="0"/>
        <v>107.39917434106066</v>
      </c>
      <c r="J6" s="145">
        <f t="shared" si="0"/>
        <v>115.43347094315656</v>
      </c>
      <c r="K6" s="145">
        <f>+K3/$B$3*100</f>
        <v>123.1819625277866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166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'!D213</f>
        <v>2991</v>
      </c>
      <c r="C3" s="39">
        <f>+'Cons spec netti '!E213</f>
        <v>3170</v>
      </c>
      <c r="D3" s="39">
        <f>+'Cons spec netti '!F213</f>
        <v>3484</v>
      </c>
      <c r="E3" s="39">
        <f>+'Cons spec netti '!G213</f>
        <v>3564</v>
      </c>
      <c r="F3" s="39">
        <f>+'Cons spec netti '!H213</f>
        <v>3958</v>
      </c>
      <c r="G3" s="39">
        <f>+'Cons spec netti '!I213</f>
        <v>4002</v>
      </c>
      <c r="H3" s="39">
        <f>+'Cons spec netti '!J213</f>
        <v>4279</v>
      </c>
      <c r="I3" s="39">
        <f>+'Cons spec netti '!K213</f>
        <v>4198</v>
      </c>
      <c r="J3" s="39">
        <f>+'Cons spec netti '!L213</f>
        <v>4458</v>
      </c>
      <c r="K3" s="39">
        <f>+'Cons spec netti '!M213</f>
        <v>4539</v>
      </c>
    </row>
    <row r="4" spans="1:11" ht="15" customHeight="1">
      <c r="A4" s="47" t="s">
        <v>52</v>
      </c>
      <c r="B4" s="39">
        <f>+'Cons spec tot e finalizzati'!E213</f>
        <v>0</v>
      </c>
      <c r="C4" s="39">
        <f>+'Cons spec tot e finalizzati'!G213</f>
        <v>42</v>
      </c>
      <c r="D4" s="41">
        <f>+'Cons spec tot e finalizzati'!I213</f>
        <v>0</v>
      </c>
      <c r="E4" s="41">
        <f>+'Cons spec tot e finalizzati'!K213</f>
        <v>0</v>
      </c>
      <c r="F4" s="41">
        <f>+'Cons spec tot e finalizzati'!M213</f>
        <v>0</v>
      </c>
      <c r="G4" s="41">
        <f>+'Cons spec tot e finalizzati'!O213</f>
        <v>0</v>
      </c>
      <c r="H4" s="41">
        <f>+'Cons spec tot e finalizzati'!Q213</f>
        <v>2</v>
      </c>
      <c r="I4" s="41">
        <f>+'Cons spec tot e finalizzati'!S213</f>
        <v>35</v>
      </c>
      <c r="J4" s="41">
        <f>+'Cons spec tot e finalizzati'!U213</f>
        <v>414</v>
      </c>
      <c r="K4" s="41">
        <f>+'Cons spec tot e finalizzati'!W213</f>
        <v>193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105.98462052825141</v>
      </c>
      <c r="D6" s="145">
        <f t="shared" si="0"/>
        <v>116.48278167836843</v>
      </c>
      <c r="E6" s="145">
        <f t="shared" si="0"/>
        <v>119.15747241725177</v>
      </c>
      <c r="F6" s="145">
        <f t="shared" si="0"/>
        <v>132.3303243062521</v>
      </c>
      <c r="G6" s="145">
        <f t="shared" si="0"/>
        <v>133.80140421263792</v>
      </c>
      <c r="H6" s="145">
        <f t="shared" si="0"/>
        <v>143.0625208960214</v>
      </c>
      <c r="I6" s="145">
        <f t="shared" si="0"/>
        <v>140.35439652290205</v>
      </c>
      <c r="J6" s="145">
        <f t="shared" si="0"/>
        <v>149.0471414242728</v>
      </c>
      <c r="K6" s="145">
        <f>+K3/$B$3*100</f>
        <v>151.75526579739218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43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'!D221</f>
        <v>3122</v>
      </c>
      <c r="C3" s="39">
        <f>+'Cons spec netti '!E221</f>
        <v>3371.5</v>
      </c>
      <c r="D3" s="39">
        <f>+'Cons spec netti '!F221</f>
        <v>3499</v>
      </c>
      <c r="E3" s="39">
        <f>+'Cons spec netti '!G221</f>
        <v>3534</v>
      </c>
      <c r="F3" s="39">
        <f>+'Cons spec netti '!H221</f>
        <v>3814</v>
      </c>
      <c r="G3" s="39">
        <f>+'Cons spec netti '!I221</f>
        <v>3838</v>
      </c>
      <c r="H3" s="39">
        <f>+'Cons spec netti '!J221</f>
        <v>3823</v>
      </c>
      <c r="I3" s="39">
        <f>+'Cons spec netti '!K221</f>
        <v>3908</v>
      </c>
      <c r="J3" s="39">
        <f>+'Cons spec netti '!L221</f>
        <v>3877</v>
      </c>
      <c r="K3" s="39">
        <f>+'Cons spec netti '!M221</f>
        <v>3904</v>
      </c>
    </row>
    <row r="4" spans="1:11" ht="15" customHeight="1">
      <c r="A4" s="47" t="s">
        <v>52</v>
      </c>
      <c r="B4" s="39">
        <f>+'Cons spec tot e finalizzati'!E221</f>
        <v>0</v>
      </c>
      <c r="C4" s="39">
        <f>+'Cons spec tot e finalizzati'!G221</f>
        <v>0</v>
      </c>
      <c r="D4" s="41">
        <f>+'Cons spec tot e finalizzati'!I221</f>
        <v>0</v>
      </c>
      <c r="E4" s="41">
        <f>+'Cons spec tot e finalizzati'!K221</f>
        <v>0</v>
      </c>
      <c r="F4" s="41">
        <f>+'Cons spec tot e finalizzati'!M221</f>
        <v>0</v>
      </c>
      <c r="G4" s="41">
        <f>+'Cons spec tot e finalizzati'!O221</f>
        <v>0</v>
      </c>
      <c r="H4" s="41">
        <f>+'Cons spec tot e finalizzati'!Q221</f>
        <v>0</v>
      </c>
      <c r="I4" s="41">
        <f>+'Cons spec tot e finalizzati'!S221</f>
        <v>18</v>
      </c>
      <c r="J4" s="41">
        <f>+'Cons spec tot e finalizzati'!U221</f>
        <v>13</v>
      </c>
      <c r="K4" s="41">
        <f>+'Cons spec tot e finalizzati'!W221</f>
        <v>85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107.99167200512491</v>
      </c>
      <c r="D6" s="145">
        <f t="shared" si="0"/>
        <v>112.07559256886613</v>
      </c>
      <c r="E6" s="145">
        <f t="shared" si="0"/>
        <v>113.19666880204997</v>
      </c>
      <c r="F6" s="145">
        <f t="shared" si="0"/>
        <v>122.16527866752082</v>
      </c>
      <c r="G6" s="145">
        <f t="shared" si="0"/>
        <v>122.93401665598975</v>
      </c>
      <c r="H6" s="145">
        <f t="shared" si="0"/>
        <v>122.45355541319667</v>
      </c>
      <c r="I6" s="145">
        <f t="shared" si="0"/>
        <v>125.17616912235748</v>
      </c>
      <c r="J6" s="145">
        <f t="shared" si="0"/>
        <v>124.18321588725176</v>
      </c>
      <c r="K6" s="145">
        <f>+K3/$B$3*100</f>
        <v>125.04804612427931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44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'!D229</f>
        <v>3641</v>
      </c>
      <c r="C3" s="39">
        <f>+'Cons spec netti '!E229</f>
        <v>3953</v>
      </c>
      <c r="D3" s="39">
        <f>+'Cons spec netti '!F229</f>
        <v>4146.506293027315</v>
      </c>
      <c r="E3" s="39">
        <f>+'Cons spec netti '!G229</f>
        <v>4554</v>
      </c>
      <c r="F3" s="39">
        <f>+'Cons spec netti '!H229</f>
        <v>4505</v>
      </c>
      <c r="G3" s="39">
        <f>+'Cons spec netti '!I229</f>
        <v>4614</v>
      </c>
      <c r="H3" s="39">
        <f>+'Cons spec netti '!J229</f>
        <v>4813</v>
      </c>
      <c r="I3" s="39">
        <f>+'Cons spec netti '!K229</f>
        <v>5242</v>
      </c>
      <c r="J3" s="39">
        <f>+'Cons spec netti '!L229</f>
        <v>5699</v>
      </c>
      <c r="K3" s="39">
        <f>+'Cons spec netti '!M229</f>
        <v>6170</v>
      </c>
    </row>
    <row r="4" spans="1:11" ht="15" customHeight="1">
      <c r="A4" s="47" t="s">
        <v>52</v>
      </c>
      <c r="B4" s="39">
        <f>+'Cons spec tot e finalizzati'!E229</f>
        <v>0</v>
      </c>
      <c r="C4" s="39">
        <f>+'Cons spec tot e finalizzati'!G229</f>
        <v>15</v>
      </c>
      <c r="D4" s="41">
        <f>+'Cons spec tot e finalizzati'!I229</f>
        <v>15.493706972684596</v>
      </c>
      <c r="E4" s="41">
        <f>+'Cons spec tot e finalizzati'!K229</f>
        <v>5</v>
      </c>
      <c r="F4" s="41">
        <f>+'Cons spec tot e finalizzati'!M229</f>
        <v>0</v>
      </c>
      <c r="G4" s="41">
        <f>+'Cons spec tot e finalizzati'!O229</f>
        <v>15</v>
      </c>
      <c r="H4" s="41">
        <f>+'Cons spec tot e finalizzati'!Q229</f>
        <v>0</v>
      </c>
      <c r="I4" s="41">
        <f>+'Cons spec tot e finalizzati'!S229</f>
        <v>6</v>
      </c>
      <c r="J4" s="41">
        <f>+'Cons spec tot e finalizzati'!U229</f>
        <v>132</v>
      </c>
      <c r="K4" s="41">
        <f>+'Cons spec tot e finalizzati'!W229</f>
        <v>103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108.56907443010162</v>
      </c>
      <c r="D6" s="145">
        <f t="shared" si="0"/>
        <v>113.88372131357636</v>
      </c>
      <c r="E6" s="145">
        <f t="shared" si="0"/>
        <v>125.07552870090635</v>
      </c>
      <c r="F6" s="145">
        <f t="shared" si="0"/>
        <v>123.72974457566603</v>
      </c>
      <c r="G6" s="145">
        <f t="shared" si="0"/>
        <v>126.72342762977205</v>
      </c>
      <c r="H6" s="145">
        <f t="shared" si="0"/>
        <v>132.1889590771766</v>
      </c>
      <c r="I6" s="145">
        <f t="shared" si="0"/>
        <v>143.97143641856633</v>
      </c>
      <c r="J6" s="145">
        <f t="shared" si="0"/>
        <v>156.5229332600934</v>
      </c>
      <c r="K6" s="145">
        <f>+K3/$B$3*100</f>
        <v>169.45893985168908</v>
      </c>
    </row>
    <row r="7" spans="1:11" ht="12.75">
      <c r="A7" t="s">
        <v>49</v>
      </c>
      <c r="B7" s="40">
        <f>+Casa!B7</f>
        <v>100</v>
      </c>
      <c r="C7" s="40">
        <f>+Casa!C7</f>
        <v>102.5</v>
      </c>
      <c r="D7" s="40">
        <f>+Casa!D7</f>
        <v>105.2</v>
      </c>
      <c r="E7" s="40">
        <f>+Casa!E7</f>
        <v>107.7</v>
      </c>
      <c r="F7" s="40">
        <f>+Casa!F7</f>
        <v>109.8</v>
      </c>
      <c r="G7" s="40">
        <f>+Casa!G7</f>
        <v>111.5</v>
      </c>
      <c r="H7" s="40">
        <f>+Casa!H7</f>
        <v>113.1</v>
      </c>
      <c r="I7" s="40">
        <f>+Casa!I7</f>
        <v>115.4</v>
      </c>
      <c r="J7" s="40">
        <f>+Casa!J7</f>
        <v>117.5</v>
      </c>
      <c r="K7" s="40">
        <f>+Casa!K7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24.8515625" style="0" bestFit="1" customWidth="1"/>
    <col min="2" max="10" width="8.7109375" style="0" bestFit="1" customWidth="1"/>
    <col min="11" max="11" width="8.7109375" style="0" customWidth="1"/>
  </cols>
  <sheetData>
    <row r="1" ht="12.75">
      <c r="A1" s="160" t="s">
        <v>140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'!D237</f>
        <v>99212</v>
      </c>
      <c r="C3" s="39">
        <f>+'Cons spec netti '!E237</f>
        <v>108868</v>
      </c>
      <c r="D3" s="39">
        <f>+'Cons spec netti '!F237</f>
        <v>111908.82778228243</v>
      </c>
      <c r="E3" s="39">
        <f>+'Cons spec netti '!G237</f>
        <v>116469</v>
      </c>
      <c r="F3" s="39">
        <f>+'Cons spec netti '!H237</f>
        <v>121037</v>
      </c>
      <c r="G3" s="39">
        <f>+'Cons spec netti '!I237</f>
        <v>127013</v>
      </c>
      <c r="H3" s="39">
        <f>+'Cons spec netti '!J237</f>
        <v>126006</v>
      </c>
      <c r="I3" s="39">
        <f>+'Cons spec netti '!K237</f>
        <v>118246</v>
      </c>
      <c r="J3" s="39">
        <f>+'Cons spec netti '!L237</f>
        <v>125207</v>
      </c>
      <c r="K3" s="39">
        <f>+'Cons spec netti '!M237</f>
        <v>124810</v>
      </c>
    </row>
    <row r="4" spans="1:11" ht="15" customHeight="1">
      <c r="A4" s="47" t="s">
        <v>52</v>
      </c>
      <c r="B4" s="39">
        <f>+'Cons spec tot e finalizzati'!E237</f>
        <v>14721</v>
      </c>
      <c r="C4" s="39">
        <f>+'Cons spec tot e finalizzati'!G237</f>
        <v>19397</v>
      </c>
      <c r="D4" s="41">
        <f>+'Cons spec tot e finalizzati'!I237</f>
        <v>15916.17221771757</v>
      </c>
      <c r="E4" s="41">
        <f>+'Cons spec tot e finalizzati'!K237</f>
        <v>21935</v>
      </c>
      <c r="F4" s="41">
        <f>+'Cons spec tot e finalizzati'!M237</f>
        <v>23087</v>
      </c>
      <c r="G4" s="41">
        <f>+'Cons spec tot e finalizzati'!O237</f>
        <v>24809</v>
      </c>
      <c r="H4" s="41">
        <f>+'Cons spec tot e finalizzati'!Q237</f>
        <v>28088</v>
      </c>
      <c r="I4" s="41">
        <f>+'Cons spec tot e finalizzati'!S237</f>
        <v>17471</v>
      </c>
      <c r="J4" s="41">
        <f>+'Cons spec tot e finalizzati'!U237</f>
        <v>25758</v>
      </c>
      <c r="K4" s="41">
        <f>+'Cons spec tot e finalizzati'!W237</f>
        <v>32689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109.73269362577108</v>
      </c>
      <c r="D6" s="145">
        <f t="shared" si="0"/>
        <v>112.79767344906104</v>
      </c>
      <c r="E6" s="145">
        <f t="shared" si="0"/>
        <v>117.39406523404428</v>
      </c>
      <c r="F6" s="145">
        <f t="shared" si="0"/>
        <v>121.99834697415635</v>
      </c>
      <c r="G6" s="145">
        <f t="shared" si="0"/>
        <v>128.02181187759544</v>
      </c>
      <c r="H6" s="145">
        <f t="shared" si="0"/>
        <v>127.0068136918921</v>
      </c>
      <c r="I6" s="145">
        <f t="shared" si="0"/>
        <v>119.18517921219207</v>
      </c>
      <c r="J6" s="145">
        <f t="shared" si="0"/>
        <v>126.20146756440754</v>
      </c>
      <c r="K6" s="145">
        <f>+K3/$B$3*100</f>
        <v>125.80131435713422</v>
      </c>
    </row>
    <row r="7" spans="1:11" ht="12.75">
      <c r="A7" t="s">
        <v>49</v>
      </c>
      <c r="B7" s="40">
        <f>+Quartieri!B7</f>
        <v>100</v>
      </c>
      <c r="C7" s="40">
        <f>+Quartieri!C7</f>
        <v>102.5</v>
      </c>
      <c r="D7" s="40">
        <f>+Quartieri!D7</f>
        <v>105.2</v>
      </c>
      <c r="E7" s="40">
        <f>+Quartieri!E7</f>
        <v>107.7</v>
      </c>
      <c r="F7" s="40">
        <f>+Quartieri!F7</f>
        <v>109.8</v>
      </c>
      <c r="G7" s="40">
        <f>+Quartieri!G7</f>
        <v>111.5</v>
      </c>
      <c r="H7" s="40">
        <f>+Quartieri!H7</f>
        <v>113.1</v>
      </c>
      <c r="I7" s="40">
        <f>+Quartieri!I7</f>
        <v>115.4</v>
      </c>
      <c r="J7" s="40">
        <f>+Quartieri!J7</f>
        <v>117.5</v>
      </c>
      <c r="K7" s="40">
        <f>+Quartieri!K7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142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'!D13</f>
        <v>1735</v>
      </c>
      <c r="C3" s="39">
        <f>+'Cons spec netti '!E13</f>
        <v>1517</v>
      </c>
      <c r="D3" s="39">
        <f>+'Cons spec netti '!F13</f>
        <v>2350</v>
      </c>
      <c r="E3" s="39">
        <f>+'Cons spec netti '!G13</f>
        <v>2642</v>
      </c>
      <c r="F3" s="39">
        <f>+'Cons spec netti '!H13</f>
        <v>2167</v>
      </c>
      <c r="G3" s="39">
        <f>+'Cons spec netti '!I13</f>
        <v>1821</v>
      </c>
      <c r="H3" s="39">
        <f>+'Cons spec netti '!J13</f>
        <v>1445</v>
      </c>
      <c r="I3" s="39">
        <f>+'Cons spec netti '!K13</f>
        <v>607</v>
      </c>
      <c r="J3" s="39">
        <f>+'Cons spec netti '!L13</f>
        <v>977</v>
      </c>
      <c r="K3" s="39">
        <f>+'Cons spec netti '!M13</f>
        <v>959</v>
      </c>
    </row>
    <row r="4" spans="1:11" ht="15" customHeight="1">
      <c r="A4" s="47" t="s">
        <v>52</v>
      </c>
      <c r="B4" s="39">
        <f>+'Cons spec tot e finalizzati'!E13</f>
        <v>1708</v>
      </c>
      <c r="C4" s="29">
        <f>+'Cons spec tot e finalizzati'!G13</f>
        <v>2047</v>
      </c>
      <c r="D4" s="41">
        <f>+'Cons spec tot e finalizzati'!I13</f>
        <v>1561</v>
      </c>
      <c r="E4" s="41">
        <f>+'Cons spec tot e finalizzati'!K13</f>
        <v>1581</v>
      </c>
      <c r="F4" s="41">
        <f>+'Cons spec tot e finalizzati'!M13</f>
        <v>1149</v>
      </c>
      <c r="G4" s="41">
        <f>+'Cons spec tot e finalizzati'!O13</f>
        <v>1829</v>
      </c>
      <c r="H4" s="41">
        <f>+'Cons spec tot e finalizzati'!Q13</f>
        <v>3761</v>
      </c>
      <c r="I4" s="41">
        <f>+'Cons spec tot e finalizzati'!S13</f>
        <v>222</v>
      </c>
      <c r="J4" s="41">
        <f>+'Cons spec tot e finalizzati'!U13</f>
        <v>115</v>
      </c>
      <c r="K4" s="41">
        <f>+'Cons spec tot e finalizzati'!W13</f>
        <v>298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87.43515850144092</v>
      </c>
      <c r="D6" s="145">
        <f t="shared" si="0"/>
        <v>135.44668587896254</v>
      </c>
      <c r="E6" s="145">
        <f t="shared" si="0"/>
        <v>152.27665706051874</v>
      </c>
      <c r="F6" s="145">
        <f t="shared" si="0"/>
        <v>124.89913544668588</v>
      </c>
      <c r="G6" s="145">
        <f t="shared" si="0"/>
        <v>104.95677233429394</v>
      </c>
      <c r="H6" s="145">
        <f t="shared" si="0"/>
        <v>83.28530259365994</v>
      </c>
      <c r="I6" s="145">
        <f t="shared" si="0"/>
        <v>34.98559077809798</v>
      </c>
      <c r="J6" s="145">
        <f t="shared" si="0"/>
        <v>56.31123919308357</v>
      </c>
      <c r="K6" s="145">
        <f>+K3/$B$3*100</f>
        <v>55.27377521613833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136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'!D19</f>
        <v>315</v>
      </c>
      <c r="C3" s="39">
        <f>+'Cons spec netti '!E19</f>
        <v>361</v>
      </c>
      <c r="D3" s="39">
        <f>+'Cons spec netti '!F19</f>
        <v>339</v>
      </c>
      <c r="E3" s="39">
        <f>+'Cons spec netti '!G19</f>
        <v>265</v>
      </c>
      <c r="F3" s="39">
        <f>+'Cons spec netti '!H19</f>
        <v>250</v>
      </c>
      <c r="G3" s="39">
        <f>+'Cons spec netti '!I19</f>
        <v>359</v>
      </c>
      <c r="H3" s="39">
        <f>+'Cons spec netti '!J19</f>
        <v>378</v>
      </c>
      <c r="I3" s="39">
        <f>+'Cons spec netti '!K19</f>
        <v>310</v>
      </c>
      <c r="J3" s="39">
        <f>+'Cons spec netti '!L19</f>
        <v>296</v>
      </c>
      <c r="K3" s="39">
        <f>+'Cons spec netti '!M19</f>
        <v>263</v>
      </c>
    </row>
    <row r="4" spans="1:11" ht="15" customHeight="1">
      <c r="A4" s="47" t="s">
        <v>52</v>
      </c>
      <c r="B4" s="39">
        <f>+'Cons spec tot e finalizzati'!E19</f>
        <v>0</v>
      </c>
      <c r="C4" s="29">
        <f>+'Cons spec tot e finalizzati'!G19</f>
        <v>0</v>
      </c>
      <c r="D4" s="41">
        <f>+'Cons spec tot e finalizzati'!I19</f>
        <v>0</v>
      </c>
      <c r="E4" s="41">
        <f>+'Cons spec tot e finalizzati'!K19</f>
        <v>0</v>
      </c>
      <c r="F4" s="41">
        <f>+'Cons spec tot e finalizzati'!M19</f>
        <v>0</v>
      </c>
      <c r="G4" s="41">
        <f>+'Cons spec tot e finalizzati'!O19</f>
        <v>0</v>
      </c>
      <c r="H4" s="41">
        <f>+'Cons spec tot e finalizzati'!Q19</f>
        <v>0</v>
      </c>
      <c r="I4" s="41">
        <f>+'Cons spec tot e finalizzati'!S19</f>
        <v>0</v>
      </c>
      <c r="J4" s="41">
        <f>+'Cons spec tot e finalizzati'!U19</f>
        <v>0</v>
      </c>
      <c r="K4" s="41">
        <f>+'Cons spec tot e finalizzati'!W19</f>
        <v>0</v>
      </c>
    </row>
    <row r="5" spans="2:3" ht="12.75">
      <c r="B5" s="39"/>
      <c r="C5" s="4"/>
    </row>
    <row r="6" spans="1:11" ht="12.75">
      <c r="A6" t="s">
        <v>53</v>
      </c>
      <c r="B6" s="144">
        <v>100</v>
      </c>
      <c r="C6" s="145">
        <f aca="true" t="shared" si="0" ref="C6:J6">+C3/$B$3*100</f>
        <v>114.6031746031746</v>
      </c>
      <c r="D6" s="145">
        <f t="shared" si="0"/>
        <v>107.61904761904762</v>
      </c>
      <c r="E6" s="145">
        <f t="shared" si="0"/>
        <v>84.12698412698413</v>
      </c>
      <c r="F6" s="145">
        <f t="shared" si="0"/>
        <v>79.36507936507937</v>
      </c>
      <c r="G6" s="145">
        <f t="shared" si="0"/>
        <v>113.96825396825396</v>
      </c>
      <c r="H6" s="145">
        <f t="shared" si="0"/>
        <v>120</v>
      </c>
      <c r="I6" s="145">
        <f t="shared" si="0"/>
        <v>98.4126984126984</v>
      </c>
      <c r="J6" s="145">
        <f t="shared" si="0"/>
        <v>93.96825396825396</v>
      </c>
      <c r="K6" s="145">
        <f>+K3/$B$3*100</f>
        <v>83.4920634920635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114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'!D20</f>
        <v>258</v>
      </c>
      <c r="C3" s="39">
        <f>+'Cons spec netti '!E20</f>
        <v>150</v>
      </c>
      <c r="D3" s="39">
        <f>+'Cons spec netti '!F20</f>
        <v>127</v>
      </c>
      <c r="E3" s="39">
        <f>+'Cons spec netti '!G20</f>
        <v>73</v>
      </c>
      <c r="F3" s="39">
        <f>+'Cons spec netti '!H20</f>
        <v>71</v>
      </c>
      <c r="G3" s="39">
        <f>+'Cons spec netti '!I20</f>
        <v>124</v>
      </c>
      <c r="H3" s="39">
        <f>+'Cons spec netti '!J20</f>
        <v>63</v>
      </c>
      <c r="I3" s="39">
        <f>+'Cons spec netti '!K20</f>
        <v>90</v>
      </c>
      <c r="J3" s="39">
        <f>+'Cons spec netti '!L20</f>
        <v>51</v>
      </c>
      <c r="K3" s="39">
        <f>+'Cons spec netti '!M20</f>
        <v>53</v>
      </c>
    </row>
    <row r="4" spans="1:11" ht="15" customHeight="1">
      <c r="A4" s="47" t="s">
        <v>52</v>
      </c>
      <c r="B4" s="39">
        <f>+'Cons spec tot e finalizzati'!E20</f>
        <v>0</v>
      </c>
      <c r="C4" s="29">
        <f>+'Cons spec tot e finalizzati'!G20</f>
        <v>0</v>
      </c>
      <c r="D4" s="41">
        <f>+'Cons spec tot e finalizzati'!I20</f>
        <v>0</v>
      </c>
      <c r="E4" s="41">
        <f>+'Cons spec tot e finalizzati'!K20</f>
        <v>0</v>
      </c>
      <c r="F4" s="41">
        <f>+'Cons spec tot e finalizzati'!M20</f>
        <v>0</v>
      </c>
      <c r="G4" s="41">
        <f>+'Cons spec tot e finalizzati'!O20</f>
        <v>0</v>
      </c>
      <c r="H4" s="41">
        <f>+'Cons spec tot e finalizzati'!Q20</f>
        <v>0</v>
      </c>
      <c r="I4" s="41">
        <f>+'Cons spec tot e finalizzati'!S20</f>
        <v>0</v>
      </c>
      <c r="J4" s="41">
        <f>+'Cons spec tot e finalizzati'!U20</f>
        <v>0</v>
      </c>
      <c r="K4" s="41">
        <f>+'Cons spec tot e finalizzati'!W20</f>
        <v>0</v>
      </c>
    </row>
    <row r="5" spans="2:3" ht="12.75">
      <c r="B5" s="39"/>
      <c r="C5" s="4"/>
    </row>
    <row r="6" spans="1:11" ht="12.75">
      <c r="A6" t="s">
        <v>53</v>
      </c>
      <c r="B6" s="144">
        <f>+B7</f>
        <v>100</v>
      </c>
      <c r="C6" s="145">
        <f aca="true" t="shared" si="0" ref="C6:J6">+C3/$B$3*100</f>
        <v>58.139534883720934</v>
      </c>
      <c r="D6" s="145">
        <f t="shared" si="0"/>
        <v>49.224806201550386</v>
      </c>
      <c r="E6" s="145">
        <f t="shared" si="0"/>
        <v>28.294573643410853</v>
      </c>
      <c r="F6" s="145">
        <f t="shared" si="0"/>
        <v>27.51937984496124</v>
      </c>
      <c r="G6" s="145">
        <f t="shared" si="0"/>
        <v>48.06201550387597</v>
      </c>
      <c r="H6" s="145">
        <f t="shared" si="0"/>
        <v>24.418604651162788</v>
      </c>
      <c r="I6" s="145">
        <f t="shared" si="0"/>
        <v>34.883720930232556</v>
      </c>
      <c r="J6" s="145">
        <f t="shared" si="0"/>
        <v>19.767441860465116</v>
      </c>
      <c r="K6" s="145">
        <f>+K3/$B$3*100</f>
        <v>20.54263565891473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L14" sqref="L14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60" t="s">
        <v>138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'!D21</f>
        <v>0</v>
      </c>
      <c r="C3" s="39">
        <f>+'Cons spec netti '!E21</f>
        <v>250</v>
      </c>
      <c r="D3" s="39">
        <f>+'Cons spec netti '!F21</f>
        <v>874</v>
      </c>
      <c r="E3" s="39">
        <f>+'Cons spec netti '!G21</f>
        <v>810</v>
      </c>
      <c r="F3" s="39">
        <f>+'Cons spec netti '!H21</f>
        <v>916</v>
      </c>
      <c r="G3" s="39">
        <f>+'Cons spec netti '!I21</f>
        <v>879</v>
      </c>
      <c r="H3" s="39">
        <f>+'Cons spec netti '!J21</f>
        <v>957</v>
      </c>
      <c r="I3" s="39">
        <f>+'Cons spec netti '!K21</f>
        <v>697</v>
      </c>
      <c r="J3" s="39">
        <f>+'Cons spec netti '!L21</f>
        <v>656</v>
      </c>
      <c r="K3" s="39">
        <f>+'Cons spec netti '!M21</f>
        <v>654</v>
      </c>
    </row>
    <row r="4" spans="1:11" ht="15" customHeight="1">
      <c r="A4" s="47" t="s">
        <v>52</v>
      </c>
      <c r="B4" s="39">
        <f>+'Cons spec tot e finalizzati'!E21</f>
        <v>0</v>
      </c>
      <c r="C4" s="29">
        <f>+'Cons spec tot e finalizzati'!G21</f>
        <v>0</v>
      </c>
      <c r="D4" s="41">
        <f>+'Cons spec tot e finalizzati'!I21</f>
        <v>0</v>
      </c>
      <c r="E4" s="41">
        <f>+'Cons spec tot e finalizzati'!K21</f>
        <v>0</v>
      </c>
      <c r="F4" s="41">
        <f>+'Cons spec tot e finalizzati'!M21</f>
        <v>0</v>
      </c>
      <c r="G4" s="41">
        <f>+'Cons spec tot e finalizzati'!O21</f>
        <v>0</v>
      </c>
      <c r="H4" s="41">
        <f>+'Cons spec tot e finalizzati'!Q21</f>
        <v>0</v>
      </c>
      <c r="I4" s="41">
        <f>+'Cons spec tot e finalizzati'!S21</f>
        <v>30</v>
      </c>
      <c r="J4" s="41">
        <f>+'Cons spec tot e finalizzati'!U21</f>
        <v>0</v>
      </c>
      <c r="K4" s="41">
        <f>+'Cons spec tot e finalizzati'!W21</f>
        <v>0</v>
      </c>
    </row>
    <row r="5" spans="2:3" ht="12.75">
      <c r="B5" s="39"/>
      <c r="C5" s="4"/>
    </row>
    <row r="6" spans="2:11" ht="12.75">
      <c r="B6" s="144"/>
      <c r="C6" s="145"/>
      <c r="D6" s="145"/>
      <c r="E6" s="145"/>
      <c r="F6" s="145"/>
      <c r="G6" s="145"/>
      <c r="H6" s="145"/>
      <c r="I6" s="145"/>
      <c r="J6" s="145"/>
      <c r="K6" s="145"/>
    </row>
    <row r="7" spans="2:11" ht="12.75"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7" ht="12.75">
      <c r="A27" s="154" t="s">
        <v>167</v>
      </c>
    </row>
  </sheetData>
  <hyperlinks>
    <hyperlink ref="A27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31" sqref="E3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60" t="s">
        <v>159</v>
      </c>
    </row>
    <row r="2" spans="2:11" ht="12.75">
      <c r="B2" s="146">
        <f>+'Cons spec netti '!D6</f>
        <v>1999</v>
      </c>
      <c r="C2" s="146">
        <f>+'Cons spec netti '!E6</f>
        <v>2000</v>
      </c>
      <c r="D2" s="146">
        <f>+'Cons spec netti '!F6</f>
        <v>2001</v>
      </c>
      <c r="E2" s="146">
        <f>+'Cons spec netti '!G6</f>
        <v>2002</v>
      </c>
      <c r="F2" s="146">
        <f>+'Cons spec netti '!H6</f>
        <v>2003</v>
      </c>
      <c r="G2" s="146">
        <f>+'Cons spec netti '!I6</f>
        <v>2004</v>
      </c>
      <c r="H2" s="146">
        <f>+'Cons spec netti '!J6</f>
        <v>2005</v>
      </c>
      <c r="I2" s="146">
        <f>+'Cons spec netti '!K6</f>
        <v>2006</v>
      </c>
      <c r="J2" s="146">
        <f>+'Cons spec netti '!L6</f>
        <v>2007</v>
      </c>
      <c r="K2" s="146">
        <f>+'Cons spec netti '!M6</f>
        <v>2008</v>
      </c>
    </row>
    <row r="3" spans="1:11" ht="12.75">
      <c r="A3" s="47" t="s">
        <v>57</v>
      </c>
      <c r="B3" s="39">
        <f>+'Cons spec netti '!D22</f>
        <v>11595</v>
      </c>
      <c r="C3" s="39">
        <f>+'Cons spec netti '!E22</f>
        <v>12170</v>
      </c>
      <c r="D3" s="39">
        <f>+'Cons spec netti '!F22</f>
        <v>11260.18199941124</v>
      </c>
      <c r="E3" s="39">
        <f>+'Cons spec netti '!G22</f>
        <v>10811</v>
      </c>
      <c r="F3" s="39">
        <f>+'Cons spec netti '!H22</f>
        <v>10697</v>
      </c>
      <c r="G3" s="39">
        <f>+'Cons spec netti '!I22</f>
        <v>10498</v>
      </c>
      <c r="H3" s="39">
        <f>+'Cons spec netti '!J22</f>
        <v>9956</v>
      </c>
      <c r="I3" s="39">
        <f>+'Cons spec netti '!K22</f>
        <v>7598</v>
      </c>
      <c r="J3" s="39">
        <f>+'Cons spec netti '!L22</f>
        <v>7651</v>
      </c>
      <c r="K3" s="39">
        <f>+'Cons spec netti '!M22</f>
        <v>7319</v>
      </c>
    </row>
    <row r="4" spans="1:11" ht="15" customHeight="1">
      <c r="A4" s="47" t="s">
        <v>52</v>
      </c>
      <c r="B4" s="39">
        <f>+'Cons spec tot e finalizzati'!E22</f>
        <v>90</v>
      </c>
      <c r="C4" s="29">
        <f>+'Cons spec tot e finalizzati'!G22</f>
        <v>81</v>
      </c>
      <c r="D4" s="41">
        <f>+'Cons spec tot e finalizzati'!I22</f>
        <v>314.81800058876087</v>
      </c>
      <c r="E4" s="41">
        <f>+'Cons spec tot e finalizzati'!K22</f>
        <v>641</v>
      </c>
      <c r="F4" s="41">
        <f>+'Cons spec tot e finalizzati'!M22</f>
        <v>424</v>
      </c>
      <c r="G4" s="41">
        <f>+'Cons spec tot e finalizzati'!O22</f>
        <v>101</v>
      </c>
      <c r="H4" s="41">
        <f>+'Cons spec tot e finalizzati'!Q22</f>
        <v>212</v>
      </c>
      <c r="I4" s="41">
        <f>+'Cons spec tot e finalizzati'!S22</f>
        <v>27</v>
      </c>
      <c r="J4" s="41">
        <f>+'Cons spec tot e finalizzati'!U22</f>
        <v>321</v>
      </c>
      <c r="K4" s="41">
        <f>+'Cons spec tot e finalizzati'!W22</f>
        <v>386</v>
      </c>
    </row>
    <row r="5" spans="2:3" ht="12.75">
      <c r="B5" s="39"/>
      <c r="C5" s="4"/>
    </row>
    <row r="6" spans="1:11" ht="12.75">
      <c r="A6" t="s">
        <v>53</v>
      </c>
      <c r="B6" s="144">
        <v>100</v>
      </c>
      <c r="C6" s="145">
        <f aca="true" t="shared" si="0" ref="C6:J6">+C3/$B$3*100</f>
        <v>104.95903406640794</v>
      </c>
      <c r="D6" s="145">
        <f t="shared" si="0"/>
        <v>97.11239326788477</v>
      </c>
      <c r="E6" s="145">
        <f t="shared" si="0"/>
        <v>93.23846485554118</v>
      </c>
      <c r="F6" s="145">
        <f t="shared" si="0"/>
        <v>92.25528244933162</v>
      </c>
      <c r="G6" s="145">
        <f t="shared" si="0"/>
        <v>90.53902544200086</v>
      </c>
      <c r="H6" s="145">
        <f t="shared" si="0"/>
        <v>85.86459680896938</v>
      </c>
      <c r="I6" s="145">
        <f t="shared" si="0"/>
        <v>65.52824493316083</v>
      </c>
      <c r="J6" s="145">
        <f t="shared" si="0"/>
        <v>65.98533850797757</v>
      </c>
      <c r="K6" s="145">
        <f>+K3/$B$3*100</f>
        <v>63.12203536006899</v>
      </c>
    </row>
    <row r="7" spans="1:11" ht="12.75">
      <c r="A7" t="s">
        <v>49</v>
      </c>
      <c r="B7" s="40">
        <f>+'DIR GEN'!B7</f>
        <v>100</v>
      </c>
      <c r="C7" s="40">
        <f>+'DIR GEN'!C7</f>
        <v>102.5</v>
      </c>
      <c r="D7" s="40">
        <f>+'DIR GEN'!D7</f>
        <v>105.2</v>
      </c>
      <c r="E7" s="40">
        <f>+'DIR GEN'!E7</f>
        <v>107.7</v>
      </c>
      <c r="F7" s="40">
        <f>+'DIR GEN'!F7</f>
        <v>109.8</v>
      </c>
      <c r="G7" s="40">
        <f>+'DIR GEN'!G7</f>
        <v>111.5</v>
      </c>
      <c r="H7" s="40">
        <f>+'DIR GEN'!H7</f>
        <v>113.1</v>
      </c>
      <c r="I7" s="40">
        <f>+'DIR GEN'!I7</f>
        <v>115.4</v>
      </c>
      <c r="J7" s="40">
        <f>+'DIR GEN'!J7</f>
        <v>117.5</v>
      </c>
      <c r="K7" s="40">
        <f>+'DIR GEN'!K7</f>
        <v>121.1</v>
      </c>
    </row>
    <row r="8" spans="2:3" ht="12.75">
      <c r="B8" s="39"/>
      <c r="C8" s="4"/>
    </row>
    <row r="9" spans="2:3" ht="12.75">
      <c r="B9" s="39"/>
      <c r="C9" s="4"/>
    </row>
    <row r="10" spans="2:3" ht="12.75">
      <c r="B10" s="41"/>
      <c r="C10" s="41"/>
    </row>
    <row r="13" spans="2:3" ht="12.75">
      <c r="B13" s="40"/>
      <c r="C13" s="40"/>
    </row>
    <row r="14" spans="2:3" ht="12.75">
      <c r="B14" s="40"/>
      <c r="C14" s="40"/>
    </row>
    <row r="15" spans="2:3" ht="12.75">
      <c r="B15" s="40"/>
      <c r="C15" s="40"/>
    </row>
    <row r="16" spans="2:3" ht="12.75">
      <c r="B16" s="40"/>
      <c r="C16" s="40"/>
    </row>
    <row r="17" ht="12.75">
      <c r="B17" s="40"/>
    </row>
    <row r="18" spans="2:3" ht="12.75">
      <c r="B18" s="40"/>
      <c r="C18" s="40"/>
    </row>
    <row r="19" ht="12.75">
      <c r="B19" s="40"/>
    </row>
    <row r="20" ht="12.75">
      <c r="B20" s="40"/>
    </row>
    <row r="21" ht="12.75">
      <c r="B21" s="40"/>
    </row>
    <row r="29" ht="12.75">
      <c r="A29" s="154" t="s">
        <v>167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2005-06-10T08:22:51Z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